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tudio LAVORI\2018_SEMINARI_GEOTECNICA\PRESENTAZIONI_GEOTECNICA_VARIE\PALI_new\FILES_Pali_Metodi\Excel_Pali_Metodi\"/>
    </mc:Choice>
  </mc:AlternateContent>
  <bookViews>
    <workbookView xWindow="0" yWindow="0" windowWidth="24000" windowHeight="11025"/>
  </bookViews>
  <sheets>
    <sheet name="TrCon" sheetId="2" r:id="rId1"/>
    <sheet name="note" sheetId="3" r:id="rId2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2" l="1"/>
  <c r="K30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9" i="2"/>
  <c r="D11" i="2"/>
  <c r="D12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B9" i="2"/>
  <c r="D9" i="2" l="1"/>
  <c r="J9" i="2" s="1"/>
  <c r="U15" i="2" l="1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C24" i="3" l="1"/>
  <c r="I15" i="2" l="1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A85" i="3"/>
  <c r="E70" i="3"/>
  <c r="B82" i="3" s="1"/>
  <c r="D87" i="3" s="1"/>
  <c r="C40" i="3"/>
  <c r="B87" i="3" l="1"/>
  <c r="C87" i="3"/>
  <c r="C85" i="3"/>
  <c r="B85" i="3"/>
  <c r="E85" i="3"/>
  <c r="D85" i="3"/>
  <c r="D82" i="3" l="1"/>
  <c r="C74" i="3" s="1"/>
  <c r="F22" i="3"/>
  <c r="G22" i="3"/>
  <c r="C9" i="3"/>
  <c r="S15" i="2" l="1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9" i="2"/>
  <c r="H28" i="2" l="1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W15" i="2" l="1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B10" i="2" l="1"/>
  <c r="D10" i="2" s="1"/>
  <c r="B11" i="2"/>
  <c r="B12" i="2"/>
  <c r="B13" i="2"/>
  <c r="D13" i="2" s="1"/>
  <c r="B14" i="2"/>
  <c r="B15" i="2"/>
  <c r="J15" i="2"/>
  <c r="K15" i="2"/>
  <c r="L15" i="2"/>
  <c r="V15" i="2"/>
  <c r="B16" i="2"/>
  <c r="J16" i="2"/>
  <c r="K16" i="2"/>
  <c r="L16" i="2"/>
  <c r="V16" i="2"/>
  <c r="B17" i="2"/>
  <c r="J17" i="2"/>
  <c r="K17" i="2"/>
  <c r="L17" i="2"/>
  <c r="V17" i="2"/>
  <c r="B18" i="2"/>
  <c r="J18" i="2"/>
  <c r="K18" i="2"/>
  <c r="L18" i="2"/>
  <c r="V18" i="2"/>
  <c r="B19" i="2"/>
  <c r="J19" i="2"/>
  <c r="K19" i="2"/>
  <c r="L19" i="2"/>
  <c r="V19" i="2"/>
  <c r="B20" i="2"/>
  <c r="J20" i="2"/>
  <c r="K20" i="2"/>
  <c r="L20" i="2"/>
  <c r="V20" i="2"/>
  <c r="B21" i="2"/>
  <c r="J21" i="2"/>
  <c r="K21" i="2"/>
  <c r="L21" i="2"/>
  <c r="V21" i="2"/>
  <c r="B22" i="2"/>
  <c r="J22" i="2"/>
  <c r="K22" i="2"/>
  <c r="L22" i="2"/>
  <c r="V22" i="2"/>
  <c r="B23" i="2"/>
  <c r="J23" i="2"/>
  <c r="K23" i="2"/>
  <c r="L23" i="2"/>
  <c r="V23" i="2"/>
  <c r="B24" i="2"/>
  <c r="J24" i="2"/>
  <c r="K24" i="2"/>
  <c r="L24" i="2"/>
  <c r="V24" i="2"/>
  <c r="B25" i="2"/>
  <c r="J25" i="2"/>
  <c r="K25" i="2"/>
  <c r="L25" i="2"/>
  <c r="B26" i="2"/>
  <c r="J26" i="2"/>
  <c r="K26" i="2"/>
  <c r="L26" i="2"/>
  <c r="V26" i="2"/>
  <c r="B27" i="2"/>
  <c r="J27" i="2"/>
  <c r="K27" i="2"/>
  <c r="L27" i="2"/>
  <c r="V27" i="2"/>
  <c r="B28" i="2"/>
  <c r="J28" i="2"/>
  <c r="K28" i="2"/>
  <c r="L28" i="2"/>
  <c r="V28" i="2"/>
  <c r="BQ55" i="2"/>
  <c r="BU55" i="2"/>
  <c r="BY55" i="2"/>
  <c r="CC55" i="2"/>
  <c r="CG55" i="2"/>
  <c r="CK55" i="2"/>
  <c r="CO55" i="2"/>
  <c r="CS55" i="2"/>
  <c r="CW55" i="2"/>
  <c r="DA55" i="2"/>
  <c r="DE55" i="2"/>
  <c r="DI55" i="2"/>
  <c r="DM55" i="2"/>
  <c r="DQ55" i="2"/>
  <c r="DU55" i="2"/>
  <c r="CO57" i="2"/>
  <c r="DU57" i="2"/>
  <c r="BQ58" i="2"/>
  <c r="BS58" i="2"/>
  <c r="BT58" i="2"/>
  <c r="BW58" i="2"/>
  <c r="BY58" i="2"/>
  <c r="CA58" i="2"/>
  <c r="CB58" i="2"/>
  <c r="CE58" i="2"/>
  <c r="CG58" i="2"/>
  <c r="CI58" i="2"/>
  <c r="CJ58" i="2"/>
  <c r="CM58" i="2"/>
  <c r="CO58" i="2"/>
  <c r="CQ58" i="2"/>
  <c r="CR58" i="2"/>
  <c r="CU58" i="2"/>
  <c r="CY58" i="2"/>
  <c r="DC58" i="2"/>
  <c r="DE58" i="2"/>
  <c r="DG58" i="2"/>
  <c r="DH58" i="2"/>
  <c r="DK58" i="2"/>
  <c r="DM58" i="2"/>
  <c r="DO58" i="2"/>
  <c r="DP58" i="2"/>
  <c r="DS58" i="2"/>
  <c r="DU58" i="2"/>
  <c r="BP57" i="2"/>
  <c r="BQ57" i="2"/>
  <c r="BT57" i="2"/>
  <c r="BU57" i="2"/>
  <c r="BU58" i="2"/>
  <c r="BX57" i="2"/>
  <c r="BX58" i="2"/>
  <c r="BY57" i="2"/>
  <c r="CB57" i="2"/>
  <c r="CC58" i="2"/>
  <c r="CF58" i="2"/>
  <c r="CG57" i="2"/>
  <c r="CJ57" i="2"/>
  <c r="CK57" i="2"/>
  <c r="CK58" i="2"/>
  <c r="CN57" i="2"/>
  <c r="CN58" i="2"/>
  <c r="CR57" i="2"/>
  <c r="CS58" i="2"/>
  <c r="CV58" i="2"/>
  <c r="CW57" i="2"/>
  <c r="CZ58" i="2"/>
  <c r="CZ57" i="2"/>
  <c r="DA57" i="2"/>
  <c r="DA58" i="2"/>
  <c r="DD57" i="2"/>
  <c r="DD58" i="2"/>
  <c r="DE57" i="2"/>
  <c r="DH57" i="2"/>
  <c r="DI58" i="2"/>
  <c r="DL58" i="2"/>
  <c r="DM57" i="2"/>
  <c r="DP57" i="2"/>
  <c r="DQ57" i="2"/>
  <c r="DQ58" i="2"/>
  <c r="DT57" i="2"/>
  <c r="DT58" i="2"/>
  <c r="J2" i="2" l="1"/>
  <c r="J4" i="2" s="1"/>
  <c r="J3" i="2" s="1"/>
  <c r="J11" i="2"/>
  <c r="J14" i="2"/>
  <c r="J12" i="2"/>
  <c r="G9" i="2"/>
  <c r="J13" i="2"/>
  <c r="J10" i="2"/>
  <c r="N28" i="2"/>
  <c r="N26" i="2"/>
  <c r="N24" i="2"/>
  <c r="N22" i="2"/>
  <c r="N20" i="2"/>
  <c r="N18" i="2"/>
  <c r="N16" i="2"/>
  <c r="N27" i="2"/>
  <c r="N25" i="2"/>
  <c r="N23" i="2"/>
  <c r="N19" i="2"/>
  <c r="N17" i="2"/>
  <c r="N15" i="2"/>
  <c r="CW58" i="2"/>
  <c r="DI57" i="2"/>
  <c r="DL57" i="2"/>
  <c r="CC57" i="2"/>
  <c r="CF57" i="2"/>
  <c r="CS57" i="2"/>
  <c r="CV57" i="2"/>
  <c r="BP58" i="2"/>
  <c r="K8" i="2" l="1"/>
  <c r="K9" i="2" s="1"/>
  <c r="L9" i="2" s="1"/>
  <c r="G10" i="2"/>
  <c r="H9" i="2"/>
  <c r="K10" i="2" l="1"/>
  <c r="L10" i="2" s="1"/>
  <c r="I9" i="2"/>
  <c r="K11" i="2"/>
  <c r="L11" i="2" s="1"/>
  <c r="S9" i="2"/>
  <c r="U9" i="2" s="1"/>
  <c r="W9" i="2" s="1"/>
  <c r="H10" i="2"/>
  <c r="G11" i="2"/>
  <c r="K12" i="2" l="1"/>
  <c r="L12" i="2" s="1"/>
  <c r="I10" i="2"/>
  <c r="S10" i="2" s="1"/>
  <c r="U10" i="2" s="1"/>
  <c r="W10" i="2" s="1"/>
  <c r="H11" i="2"/>
  <c r="G12" i="2"/>
  <c r="K13" i="2" l="1"/>
  <c r="L13" i="2" s="1"/>
  <c r="I11" i="2"/>
  <c r="S11" i="2" s="1"/>
  <c r="U11" i="2" s="1"/>
  <c r="W11" i="2" s="1"/>
  <c r="H12" i="2"/>
  <c r="G13" i="2"/>
  <c r="K14" i="2"/>
  <c r="L14" i="2" s="1"/>
  <c r="I12" i="2" l="1"/>
  <c r="S12" i="2" s="1"/>
  <c r="U12" i="2" s="1"/>
  <c r="W12" i="2" s="1"/>
  <c r="H13" i="2"/>
  <c r="G14" i="2"/>
  <c r="H30" i="2" s="1"/>
  <c r="H14" i="2" l="1"/>
  <c r="H31" i="2" s="1"/>
  <c r="H32" i="2" s="1"/>
  <c r="K31" i="2" s="1"/>
  <c r="W31" i="2" s="1"/>
  <c r="I13" i="2"/>
  <c r="S13" i="2" s="1"/>
  <c r="U13" i="2" s="1"/>
  <c r="W13" i="2" s="1"/>
  <c r="I14" i="2" l="1"/>
  <c r="S14" i="2" s="1"/>
  <c r="U14" i="2" s="1"/>
  <c r="W14" i="2" s="1"/>
  <c r="W30" i="2" s="1"/>
  <c r="W32" i="2" s="1"/>
</calcChain>
</file>

<file path=xl/sharedStrings.xml><?xml version="1.0" encoding="utf-8"?>
<sst xmlns="http://schemas.openxmlformats.org/spreadsheetml/2006/main" count="122" uniqueCount="86">
  <si>
    <t>strato</t>
  </si>
  <si>
    <t>prof. (m)</t>
  </si>
  <si>
    <t>STRATO</t>
  </si>
  <si>
    <t>Qs (kN) =</t>
  </si>
  <si>
    <t>Cu (kPa)</t>
  </si>
  <si>
    <t>a (m)</t>
  </si>
  <si>
    <t>conicità (%) =</t>
  </si>
  <si>
    <t>PALO PREFABBRICATO BATTUTO TRONCOCONICO</t>
  </si>
  <si>
    <t>N.B.: introdurre i dati esclusivamente nelle caselle in giallo</t>
  </si>
  <si>
    <t>(Gambini 2018)</t>
  </si>
  <si>
    <t xml:space="preserve"> da (m)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</si>
  <si>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d (m)</t>
    </r>
  </si>
  <si>
    <t>diametro testa palo:  dt (m) =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</si>
  <si>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zi</t>
    </r>
    <r>
      <rPr>
        <sz val="11"/>
        <color theme="1"/>
        <rFont val="Calibri"/>
        <family val="2"/>
        <scheme val="minor"/>
      </rPr>
      <t xml:space="preserve"> (m)</t>
    </r>
  </si>
  <si>
    <t>d (m)</t>
  </si>
  <si>
    <t>dm (m)</t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</si>
  <si>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</rPr>
      <t>(kN/m3)</t>
    </r>
  </si>
  <si>
    <t>u(kPa)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</si>
  <si>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>vo(kPa)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</si>
  <si>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>'vo(kPa)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</si>
  <si>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>'vm(kPa)</t>
    </r>
  </si>
  <si>
    <t>qs (kPa)</t>
  </si>
  <si>
    <t>K (-)</t>
  </si>
  <si>
    <r>
      <rPr>
        <sz val="11"/>
        <color theme="1"/>
        <rFont val="Symbol"/>
        <family val="1"/>
        <charset val="2"/>
      </rPr>
      <t xml:space="preserve">d </t>
    </r>
    <r>
      <rPr>
        <sz val="11"/>
        <color theme="1"/>
        <rFont val="Calibri"/>
        <family val="2"/>
      </rPr>
      <t>(°)</t>
    </r>
  </si>
  <si>
    <t>C</t>
  </si>
  <si>
    <t>Qs (kN)</t>
  </si>
  <si>
    <t>&lt; 75</t>
  </si>
  <si>
    <t>&lt; 150</t>
  </si>
  <si>
    <t>totale</t>
  </si>
  <si>
    <t>COESIVI</t>
  </si>
  <si>
    <t>GRANULARI</t>
  </si>
  <si>
    <t>D (m) =</t>
  </si>
  <si>
    <t>L (m) =</t>
  </si>
  <si>
    <t>L/d =</t>
  </si>
  <si>
    <t>PHI' (°)  =</t>
  </si>
  <si>
    <t>Nq  =</t>
  </si>
  <si>
    <t>Nq =</t>
  </si>
  <si>
    <t>PHI'</t>
  </si>
  <si>
    <t>Nq(5)</t>
  </si>
  <si>
    <t>Nq(10)</t>
  </si>
  <si>
    <t>Nq(20)</t>
  </si>
  <si>
    <t>Nq(50)</t>
  </si>
  <si>
    <t>TERRENI COESIVI</t>
  </si>
  <si>
    <t>qs =  Cu</t>
  </si>
  <si>
    <t>Cu (kPa) =</t>
  </si>
  <si>
    <t>qs (kPa) =</t>
  </si>
  <si>
    <r>
      <t xml:space="preserve">per  Cu </t>
    </r>
    <r>
      <rPr>
        <sz val="18"/>
        <color theme="1"/>
        <rFont val="Symbol"/>
        <family val="1"/>
        <charset val="2"/>
      </rPr>
      <t>£</t>
    </r>
    <r>
      <rPr>
        <sz val="18"/>
        <color theme="1"/>
        <rFont val="Calibri"/>
        <family val="2"/>
      </rPr>
      <t xml:space="preserve"> 23 kPa</t>
    </r>
  </si>
  <si>
    <r>
      <t xml:space="preserve">per  Cu </t>
    </r>
    <r>
      <rPr>
        <sz val="18"/>
        <color theme="1"/>
        <rFont val="Symbol"/>
        <family val="1"/>
        <charset val="2"/>
      </rPr>
      <t>&gt;</t>
    </r>
    <r>
      <rPr>
        <sz val="18"/>
        <color theme="1"/>
        <rFont val="Calibri"/>
        <family val="2"/>
      </rPr>
      <t xml:space="preserve"> 23 kPa</t>
    </r>
  </si>
  <si>
    <t>TERRENI GRANULARI</t>
  </si>
  <si>
    <r>
      <t>coefficiente conicità   C = 0,3</t>
    </r>
    <r>
      <rPr>
        <sz val="18"/>
        <color theme="1"/>
        <rFont val="Symbol"/>
        <family val="1"/>
        <charset val="2"/>
      </rPr>
      <t>¸</t>
    </r>
    <r>
      <rPr>
        <sz val="18"/>
        <color theme="1"/>
        <rFont val="Calibri"/>
        <family val="2"/>
      </rPr>
      <t>0,5</t>
    </r>
  </si>
  <si>
    <t>portata laterale</t>
  </si>
  <si>
    <r>
      <t xml:space="preserve">Qs = </t>
    </r>
    <r>
      <rPr>
        <sz val="22"/>
        <color theme="1"/>
        <rFont val="Symbol"/>
        <family val="1"/>
        <charset val="2"/>
      </rPr>
      <t>S</t>
    </r>
    <r>
      <rPr>
        <sz val="22"/>
        <color theme="1"/>
        <rFont val="Calibri"/>
        <family val="2"/>
      </rPr>
      <t xml:space="preserve"> [qs </t>
    </r>
    <r>
      <rPr>
        <sz val="22"/>
        <color theme="1"/>
        <rFont val="Symbol"/>
        <family val="1"/>
        <charset val="2"/>
      </rPr>
      <t>×</t>
    </r>
    <r>
      <rPr>
        <sz val="22"/>
        <color theme="1"/>
        <rFont val="Calibri"/>
        <family val="2"/>
      </rPr>
      <t xml:space="preserve"> (</t>
    </r>
    <r>
      <rPr>
        <sz val="22"/>
        <color theme="1"/>
        <rFont val="Symbol"/>
        <family val="1"/>
        <charset val="2"/>
      </rPr>
      <t>p ×</t>
    </r>
    <r>
      <rPr>
        <sz val="22"/>
        <color theme="1"/>
        <rFont val="Calibri"/>
        <family val="2"/>
        <scheme val="minor"/>
      </rPr>
      <t xml:space="preserve"> dm </t>
    </r>
    <r>
      <rPr>
        <sz val="22"/>
        <color theme="1"/>
        <rFont val="Symbol"/>
        <family val="1"/>
        <charset val="2"/>
      </rPr>
      <t>× D</t>
    </r>
    <r>
      <rPr>
        <sz val="22"/>
        <color theme="1"/>
        <rFont val="Calibri"/>
        <family val="2"/>
        <scheme val="minor"/>
      </rPr>
      <t xml:space="preserve">z) </t>
    </r>
    <r>
      <rPr>
        <sz val="22"/>
        <color theme="1"/>
        <rFont val="Symbol"/>
        <family val="1"/>
        <charset val="2"/>
      </rPr>
      <t>×</t>
    </r>
    <r>
      <rPr>
        <sz val="22"/>
        <color theme="1"/>
        <rFont val="Calibri"/>
        <family val="2"/>
      </rPr>
      <t xml:space="preserve"> (1+C)]</t>
    </r>
  </si>
  <si>
    <r>
      <t xml:space="preserve">dm = diametro medio del tronco di palo di altezza  </t>
    </r>
    <r>
      <rPr>
        <sz val="18"/>
        <color theme="1"/>
        <rFont val="Symbol"/>
        <family val="1"/>
        <charset val="2"/>
      </rPr>
      <t>D</t>
    </r>
    <r>
      <rPr>
        <sz val="18"/>
        <color theme="1"/>
        <rFont val="Calibri"/>
        <family val="2"/>
      </rPr>
      <t>z</t>
    </r>
  </si>
  <si>
    <r>
      <t>K = [dm(cm) /25]</t>
    </r>
    <r>
      <rPr>
        <vertAlign val="superscript"/>
        <sz val="18"/>
        <color theme="1"/>
        <rFont val="Calibri"/>
        <family val="2"/>
        <scheme val="minor"/>
      </rPr>
      <t xml:space="preserve">0,3 </t>
    </r>
    <r>
      <rPr>
        <sz val="18"/>
        <color theme="1"/>
        <rFont val="Symbol"/>
        <family val="1"/>
        <charset val="2"/>
      </rPr>
      <t>×</t>
    </r>
    <r>
      <rPr>
        <sz val="18"/>
        <color theme="1"/>
        <rFont val="Calibri"/>
        <family val="2"/>
        <scheme val="minor"/>
      </rPr>
      <t xml:space="preserve"> tan(1,5 </t>
    </r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 xml:space="preserve">')        per  </t>
    </r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>' = 24</t>
    </r>
    <r>
      <rPr>
        <sz val="18"/>
        <color theme="1"/>
        <rFont val="Symbol"/>
        <family val="1"/>
        <charset val="2"/>
      </rPr>
      <t>¸</t>
    </r>
    <r>
      <rPr>
        <sz val="18"/>
        <color theme="1"/>
        <rFont val="Calibri"/>
        <family val="2"/>
      </rPr>
      <t>36°</t>
    </r>
  </si>
  <si>
    <t xml:space="preserve">dm (m) = </t>
  </si>
  <si>
    <r>
      <rPr>
        <sz val="18"/>
        <color theme="1"/>
        <rFont val="Symbol"/>
        <family val="1"/>
        <charset val="2"/>
      </rPr>
      <t>d</t>
    </r>
    <r>
      <rPr>
        <sz val="18"/>
        <color theme="1"/>
        <rFont val="Calibri"/>
        <family val="2"/>
      </rPr>
      <t xml:space="preserve"> = 0,67</t>
    </r>
    <r>
      <rPr>
        <sz val="18"/>
        <color theme="1"/>
        <rFont val="Symbol"/>
        <family val="1"/>
        <charset val="2"/>
      </rPr>
      <t>¸</t>
    </r>
    <r>
      <rPr>
        <sz val="18"/>
        <color theme="1"/>
        <rFont val="Calibri"/>
        <family val="2"/>
      </rPr>
      <t xml:space="preserve">0,75 </t>
    </r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>'</t>
    </r>
  </si>
  <si>
    <r>
      <rPr>
        <sz val="18"/>
        <color theme="1"/>
        <rFont val="Symbol"/>
        <family val="1"/>
        <charset val="2"/>
      </rPr>
      <t>d</t>
    </r>
    <r>
      <rPr>
        <sz val="18"/>
        <color theme="1"/>
        <rFont val="Calibri"/>
        <family val="2"/>
      </rPr>
      <t xml:space="preserve"> (°) =</t>
    </r>
  </si>
  <si>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 xml:space="preserve">' (°) = </t>
    </r>
  </si>
  <si>
    <t>K =</t>
  </si>
  <si>
    <r>
      <t>coefficiente conicità   C = 0,8</t>
    </r>
    <r>
      <rPr>
        <sz val="18"/>
        <color theme="1"/>
        <rFont val="Symbol"/>
        <family val="1"/>
        <charset val="2"/>
      </rPr>
      <t>¸</t>
    </r>
    <r>
      <rPr>
        <sz val="18"/>
        <color theme="1"/>
        <rFont val="Calibri"/>
        <family val="2"/>
      </rPr>
      <t>1,0</t>
    </r>
  </si>
  <si>
    <r>
      <t>qs =  3,5 (Cu)</t>
    </r>
    <r>
      <rPr>
        <vertAlign val="superscript"/>
        <sz val="18"/>
        <color theme="1"/>
        <rFont val="Calibri"/>
        <family val="2"/>
        <scheme val="minor"/>
      </rPr>
      <t xml:space="preserve">0,6  </t>
    </r>
    <r>
      <rPr>
        <sz val="18"/>
        <color theme="1"/>
        <rFont val="Symbol"/>
        <family val="1"/>
        <charset val="2"/>
      </rPr>
      <t>£</t>
    </r>
    <r>
      <rPr>
        <sz val="18"/>
        <color theme="1"/>
        <rFont val="Calibri"/>
        <family val="2"/>
        <scheme val="minor"/>
      </rPr>
      <t xml:space="preserve">  75 kPa</t>
    </r>
  </si>
  <si>
    <r>
      <t xml:space="preserve">qs =  K </t>
    </r>
    <r>
      <rPr>
        <sz val="18"/>
        <color theme="1"/>
        <rFont val="Symbol"/>
        <family val="1"/>
        <charset val="2"/>
      </rPr>
      <t>× s</t>
    </r>
    <r>
      <rPr>
        <sz val="18"/>
        <color theme="1"/>
        <rFont val="Calibri"/>
        <family val="2"/>
      </rPr>
      <t xml:space="preserve">'vm </t>
    </r>
    <r>
      <rPr>
        <sz val="18"/>
        <color theme="1"/>
        <rFont val="Symbol"/>
        <family val="1"/>
        <charset val="2"/>
      </rPr>
      <t xml:space="preserve">× </t>
    </r>
    <r>
      <rPr>
        <sz val="18"/>
        <color theme="1"/>
        <rFont val="Calibri"/>
        <family val="2"/>
      </rPr>
      <t xml:space="preserve">tan </t>
    </r>
    <r>
      <rPr>
        <sz val="18"/>
        <color theme="1"/>
        <rFont val="Symbol"/>
        <family val="1"/>
        <charset val="2"/>
      </rPr>
      <t xml:space="preserve">d  £  </t>
    </r>
    <r>
      <rPr>
        <sz val="18"/>
        <color theme="1"/>
        <rFont val="Calibri"/>
        <family val="2"/>
        <scheme val="minor"/>
      </rPr>
      <t>150 kPa</t>
    </r>
  </si>
  <si>
    <t>portata alla base</t>
  </si>
  <si>
    <r>
      <t xml:space="preserve">Qb = qb </t>
    </r>
    <r>
      <rPr>
        <sz val="22"/>
        <color theme="1"/>
        <rFont val="Symbol"/>
        <family val="1"/>
        <charset val="2"/>
      </rPr>
      <t>×</t>
    </r>
    <r>
      <rPr>
        <sz val="22"/>
        <color theme="1"/>
        <rFont val="Calibri"/>
        <family val="2"/>
        <scheme val="minor"/>
      </rPr>
      <t xml:space="preserve"> </t>
    </r>
    <r>
      <rPr>
        <sz val="22"/>
        <color theme="1"/>
        <rFont val="Calibri"/>
        <family val="2"/>
      </rPr>
      <t>(</t>
    </r>
    <r>
      <rPr>
        <sz val="22"/>
        <color theme="1"/>
        <rFont val="Symbol"/>
        <family val="1"/>
        <charset val="2"/>
      </rPr>
      <t>p ×</t>
    </r>
    <r>
      <rPr>
        <sz val="22"/>
        <color theme="1"/>
        <rFont val="Calibri"/>
        <family val="2"/>
        <scheme val="minor"/>
      </rPr>
      <t xml:space="preserve"> db</t>
    </r>
    <r>
      <rPr>
        <vertAlign val="superscript"/>
        <sz val="22"/>
        <color theme="1"/>
        <rFont val="Calibri"/>
        <family val="2"/>
        <scheme val="minor"/>
      </rPr>
      <t>2</t>
    </r>
    <r>
      <rPr>
        <sz val="22"/>
        <color theme="1"/>
        <rFont val="Calibri"/>
        <family val="2"/>
        <scheme val="minor"/>
      </rPr>
      <t>/4)</t>
    </r>
  </si>
  <si>
    <t>db = diametro alla base del palo</t>
  </si>
  <si>
    <t>h/d =</t>
  </si>
  <si>
    <r>
      <t>N</t>
    </r>
    <r>
      <rPr>
        <sz val="18"/>
        <color theme="1"/>
        <rFont val="Calibri"/>
        <family val="2"/>
        <scheme val="minor"/>
      </rPr>
      <t>c =</t>
    </r>
    <r>
      <rPr>
        <sz val="18"/>
        <color theme="1"/>
        <rFont val="Symbol"/>
        <family val="1"/>
        <charset val="2"/>
      </rPr>
      <t/>
    </r>
  </si>
  <si>
    <r>
      <t xml:space="preserve">qb = Cu </t>
    </r>
    <r>
      <rPr>
        <sz val="18"/>
        <color theme="1"/>
        <rFont val="Symbol"/>
        <family val="1"/>
        <charset val="2"/>
      </rPr>
      <t>×</t>
    </r>
    <r>
      <rPr>
        <sz val="18"/>
        <color theme="1"/>
        <rFont val="Calibri"/>
        <family val="2"/>
        <scheme val="minor"/>
      </rPr>
      <t xml:space="preserve"> Nc + </t>
    </r>
    <r>
      <rPr>
        <sz val="18"/>
        <color theme="1"/>
        <rFont val="Symbol"/>
        <family val="1"/>
        <charset val="2"/>
      </rPr>
      <t>s</t>
    </r>
    <r>
      <rPr>
        <sz val="18"/>
        <color theme="1"/>
        <rFont val="Calibri"/>
        <family val="2"/>
      </rPr>
      <t>vb</t>
    </r>
  </si>
  <si>
    <r>
      <t xml:space="preserve">qb =  </t>
    </r>
    <r>
      <rPr>
        <sz val="18"/>
        <color theme="1"/>
        <rFont val="Symbol"/>
        <family val="1"/>
        <charset val="2"/>
      </rPr>
      <t>s</t>
    </r>
    <r>
      <rPr>
        <sz val="18"/>
        <color theme="1"/>
        <rFont val="Calibri"/>
        <family val="2"/>
      </rPr>
      <t>'</t>
    </r>
    <r>
      <rPr>
        <sz val="18"/>
        <color theme="1"/>
        <rFont val="Calibri"/>
        <family val="2"/>
        <scheme val="minor"/>
      </rPr>
      <t xml:space="preserve">vb </t>
    </r>
    <r>
      <rPr>
        <sz val="18"/>
        <color theme="1"/>
        <rFont val="Symbol"/>
        <family val="1"/>
        <charset val="2"/>
      </rPr>
      <t>×</t>
    </r>
    <r>
      <rPr>
        <sz val="18"/>
        <color theme="1"/>
        <rFont val="Calibri"/>
        <family val="2"/>
      </rPr>
      <t xml:space="preserve"> </t>
    </r>
    <r>
      <rPr>
        <sz val="18"/>
        <color theme="1"/>
        <rFont val="Calibri"/>
        <family val="2"/>
        <scheme val="minor"/>
      </rPr>
      <t xml:space="preserve">Nq   </t>
    </r>
    <r>
      <rPr>
        <sz val="18"/>
        <color theme="1"/>
        <rFont val="Symbol"/>
        <family val="1"/>
        <charset val="2"/>
      </rPr>
      <t>£</t>
    </r>
    <r>
      <rPr>
        <sz val="18"/>
        <color theme="1"/>
        <rFont val="Calibri"/>
        <family val="2"/>
      </rPr>
      <t xml:space="preserve">  15 MPa = 15000 kPa</t>
    </r>
  </si>
  <si>
    <t>Cu(kPa) =</t>
  </si>
  <si>
    <t>Nc =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</si>
  <si>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>vb(kPa) =</t>
    </r>
  </si>
  <si>
    <t>Qb (kN) =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</si>
  <si>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>'vb(kPa) =</t>
    </r>
  </si>
  <si>
    <t>PORTATA LATERALE</t>
  </si>
  <si>
    <t xml:space="preserve">PORTATA ALLA BASE </t>
  </si>
  <si>
    <t>PORTATA TOTALE</t>
  </si>
  <si>
    <t>Qt (kN) =</t>
  </si>
  <si>
    <t xml:space="preserve">qb (kPa) = </t>
  </si>
  <si>
    <t>max  =</t>
  </si>
  <si>
    <t>QUOTE (m)</t>
  </si>
  <si>
    <t>quota inizio = testa pali (m) =</t>
  </si>
  <si>
    <t>quota base (m) =</t>
  </si>
  <si>
    <t>quota falda (m) =</t>
  </si>
  <si>
    <t>diametro base palo:   db (m) =</t>
  </si>
  <si>
    <t>lunghezza palo:  L (m)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</si>
</sst>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8"/>
      <color theme="1"/>
      <name val="Calibri"/>
      <family val="2"/>
      <scheme val="minor"/>
    </font>
    <font>
      <sz val="18"/>
      <color theme="1"/>
      <name val="Symbol"/>
      <family val="1"/>
      <charset val="2"/>
    </font>
    <font>
      <sz val="18"/>
      <color theme="1"/>
      <name val="Calibri"/>
      <family val="2"/>
    </font>
    <font>
      <vertAlign val="superscript"/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theme="1"/>
      <name val="Symbol"/>
      <family val="1"/>
      <charset val="2"/>
    </font>
    <font>
      <sz val="22"/>
      <color theme="1"/>
      <name val="Calibri"/>
      <family val="2"/>
    </font>
    <font>
      <vertAlign val="superscript"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2" borderId="0" xfId="0" applyFont="1" applyFill="1"/>
    <xf numFmtId="0" fontId="0" fillId="2" borderId="0" xfId="0" applyFill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/>
    </xf>
    <xf numFmtId="0" fontId="9" fillId="2" borderId="0" xfId="0" applyFont="1" applyFill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Fill="1" applyAlignment="1">
      <alignment horizontal="center"/>
    </xf>
    <xf numFmtId="0" fontId="8" fillId="0" borderId="0" xfId="0" applyFont="1"/>
    <xf numFmtId="0" fontId="8" fillId="0" borderId="0" xfId="0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10" fillId="0" borderId="0" xfId="0" applyNumberFormat="1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2" fillId="0" borderId="0" xfId="0" applyFont="1"/>
    <xf numFmtId="0" fontId="16" fillId="0" borderId="0" xfId="0" applyFont="1"/>
    <xf numFmtId="0" fontId="12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20" fillId="0" borderId="0" xfId="0" applyFont="1"/>
    <xf numFmtId="0" fontId="21" fillId="2" borderId="0" xfId="0" applyFont="1" applyFill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" fillId="0" borderId="0" xfId="0" applyFont="1" applyAlignment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14" fontId="23" fillId="0" borderId="0" xfId="0" applyNumberFormat="1" applyFont="1"/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95250</xdr:colOff>
      <xdr:row>1</xdr:row>
      <xdr:rowOff>123825</xdr:rowOff>
    </xdr:from>
    <xdr:to>
      <xdr:col>21</xdr:col>
      <xdr:colOff>85725</xdr:colOff>
      <xdr:row>4</xdr:row>
      <xdr:rowOff>28575</xdr:rowOff>
    </xdr:to>
    <xdr:sp macro="" textlink="">
      <xdr:nvSpPr>
        <xdr:cNvPr id="2" name="CasellaDiTesto 1"/>
        <xdr:cNvSpPr txBox="1"/>
      </xdr:nvSpPr>
      <xdr:spPr>
        <a:xfrm>
          <a:off x="8382000" y="523875"/>
          <a:ext cx="2562225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N.B.:  la falda deve essere individuata</a:t>
          </a:r>
          <a:r>
            <a:rPr lang="it-IT" sz="1200" b="1">
              <a:solidFill>
                <a:srgbClr val="FF0000"/>
              </a:solidFill>
            </a:rPr>
            <a:t> </a:t>
          </a:r>
          <a:r>
            <a:rPr lang="it-IT" sz="12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all'interfaccia fra due strati successivi</a:t>
          </a:r>
          <a:r>
            <a:rPr lang="it-IT" sz="1200" b="1">
              <a:solidFill>
                <a:srgbClr val="FF0000"/>
              </a:solidFill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190500</xdr:colOff>
      <xdr:row>63</xdr:row>
      <xdr:rowOff>123825</xdr:rowOff>
    </xdr:from>
    <xdr:ext cx="5509260" cy="5273040"/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7100" y="14601825"/>
          <a:ext cx="5509260" cy="5273040"/>
        </a:xfrm>
        <a:prstGeom prst="rect">
          <a:avLst/>
        </a:prstGeom>
      </xdr:spPr>
    </xdr:pic>
    <xdr:clientData/>
  </xdr:oneCellAnchor>
  <xdr:twoCellAnchor editAs="oneCell">
    <xdr:from>
      <xdr:col>14</xdr:col>
      <xdr:colOff>371474</xdr:colOff>
      <xdr:row>63</xdr:row>
      <xdr:rowOff>38100</xdr:rowOff>
    </xdr:from>
    <xdr:to>
      <xdr:col>24</xdr:col>
      <xdr:colOff>190499</xdr:colOff>
      <xdr:row>85</xdr:row>
      <xdr:rowOff>85725</xdr:rowOff>
    </xdr:to>
    <xdr:pic>
      <xdr:nvPicPr>
        <xdr:cNvPr id="4" name="Immagin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"/>
        <a:stretch/>
      </xdr:blipFill>
      <xdr:spPr bwMode="auto">
        <a:xfrm>
          <a:off x="9134474" y="14516100"/>
          <a:ext cx="5915025" cy="482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228600</xdr:colOff>
      <xdr:row>33</xdr:row>
      <xdr:rowOff>9525</xdr:rowOff>
    </xdr:from>
    <xdr:to>
      <xdr:col>14</xdr:col>
      <xdr:colOff>335280</xdr:colOff>
      <xdr:row>55</xdr:row>
      <xdr:rowOff>26670</xdr:rowOff>
    </xdr:to>
    <xdr:pic>
      <xdr:nvPicPr>
        <xdr:cNvPr id="13" name="Immagine 1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86000" y="8582025"/>
          <a:ext cx="6812280" cy="45224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64"/>
  <sheetViews>
    <sheetView tabSelected="1" workbookViewId="0">
      <selection activeCell="E31" sqref="E31"/>
    </sheetView>
  </sheetViews>
  <sheetFormatPr defaultRowHeight="15" x14ac:dyDescent="0.25"/>
  <cols>
    <col min="1" max="1" width="9" customWidth="1"/>
    <col min="2" max="4" width="7.7109375" customWidth="1"/>
    <col min="5" max="5" width="9.140625" customWidth="1"/>
    <col min="6" max="6" width="7.7109375" customWidth="1"/>
    <col min="7" max="8" width="9.140625" customWidth="1"/>
    <col min="9" max="9" width="9.85546875" customWidth="1"/>
    <col min="10" max="10" width="9.140625" customWidth="1"/>
    <col min="11" max="12" width="7.7109375" customWidth="1"/>
    <col min="13" max="13" width="2.7109375" customWidth="1"/>
    <col min="14" max="14" width="8" customWidth="1"/>
    <col min="15" max="15" width="9.140625" customWidth="1"/>
    <col min="16" max="16" width="2.7109375" customWidth="1"/>
    <col min="17" max="19" width="8.7109375" customWidth="1"/>
    <col min="20" max="20" width="3.7109375" customWidth="1"/>
    <col min="21" max="21" width="8.7109375" customWidth="1"/>
    <col min="22" max="22" width="7.28515625" customWidth="1"/>
    <col min="23" max="23" width="9.42578125" customWidth="1"/>
    <col min="24" max="24" width="9.140625" customWidth="1"/>
    <col min="25" max="25" width="9.85546875" customWidth="1"/>
    <col min="27" max="27" width="9.28515625" customWidth="1"/>
    <col min="28" max="28" width="5.42578125" customWidth="1"/>
    <col min="29" max="29" width="9.140625" customWidth="1"/>
    <col min="30" max="30" width="11" bestFit="1" customWidth="1"/>
    <col min="31" max="31" width="11" customWidth="1"/>
    <col min="32" max="32" width="9.7109375" customWidth="1"/>
    <col min="33" max="33" width="9.85546875" customWidth="1"/>
    <col min="35" max="35" width="9.42578125" customWidth="1"/>
    <col min="39" max="39" width="9.140625" customWidth="1"/>
    <col min="40" max="40" width="4.85546875" customWidth="1"/>
  </cols>
  <sheetData>
    <row r="1" spans="1:31" ht="31.5" x14ac:dyDescent="0.5">
      <c r="A1" s="8" t="s">
        <v>7</v>
      </c>
      <c r="K1" s="10" t="s">
        <v>9</v>
      </c>
      <c r="O1" s="11" t="s">
        <v>8</v>
      </c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31" x14ac:dyDescent="0.25">
      <c r="D2" s="14" t="s">
        <v>81</v>
      </c>
      <c r="E2" s="48">
        <v>-1</v>
      </c>
      <c r="H2" s="15"/>
      <c r="I2" s="14" t="s">
        <v>82</v>
      </c>
      <c r="J2" s="49">
        <f>MIN(B9:B29)</f>
        <v>-13</v>
      </c>
      <c r="M2" s="14"/>
      <c r="O2" s="45">
        <v>45348</v>
      </c>
    </row>
    <row r="3" spans="1:31" s="15" customFormat="1" x14ac:dyDescent="0.25">
      <c r="D3" s="14" t="s">
        <v>84</v>
      </c>
      <c r="E3" s="5">
        <v>0.24</v>
      </c>
      <c r="I3" s="14" t="s">
        <v>12</v>
      </c>
      <c r="J3" s="2">
        <f>E3+(E4/100)*J4</f>
        <v>0.42</v>
      </c>
      <c r="P3" s="16"/>
      <c r="AD3"/>
      <c r="AE3"/>
    </row>
    <row r="4" spans="1:31" s="15" customFormat="1" x14ac:dyDescent="0.25">
      <c r="D4" s="14" t="s">
        <v>6</v>
      </c>
      <c r="E4" s="5">
        <v>1.5</v>
      </c>
      <c r="H4" s="17"/>
      <c r="I4" s="14" t="s">
        <v>85</v>
      </c>
      <c r="J4" s="49">
        <f>E2-J2</f>
        <v>12</v>
      </c>
      <c r="M4" s="14" t="s">
        <v>83</v>
      </c>
      <c r="N4" s="48">
        <v>-1</v>
      </c>
      <c r="AD4"/>
      <c r="AE4"/>
    </row>
    <row r="5" spans="1:31" s="15" customFormat="1" ht="9.75" customHeight="1" x14ac:dyDescent="0.25">
      <c r="N5"/>
      <c r="Z5" s="18"/>
      <c r="AA5" s="18"/>
      <c r="AD5"/>
      <c r="AE5"/>
    </row>
    <row r="6" spans="1:31" x14ac:dyDescent="0.25">
      <c r="B6" s="52" t="s">
        <v>80</v>
      </c>
      <c r="C6" s="53"/>
      <c r="E6" s="1" t="s">
        <v>28</v>
      </c>
      <c r="N6" s="1" t="s">
        <v>29</v>
      </c>
      <c r="O6" s="2" t="s">
        <v>26</v>
      </c>
      <c r="P6" s="17"/>
      <c r="Q6" s="51" t="s">
        <v>30</v>
      </c>
      <c r="R6" s="52"/>
      <c r="S6" s="2" t="s">
        <v>27</v>
      </c>
      <c r="V6" s="1"/>
      <c r="Z6" s="1"/>
      <c r="AA6" s="1"/>
    </row>
    <row r="7" spans="1:31" x14ac:dyDescent="0.25">
      <c r="A7" s="1" t="s">
        <v>0</v>
      </c>
      <c r="B7" s="1" t="s">
        <v>10</v>
      </c>
      <c r="C7" s="1" t="s">
        <v>5</v>
      </c>
      <c r="D7" s="1" t="s">
        <v>13</v>
      </c>
      <c r="E7" s="13" t="s">
        <v>16</v>
      </c>
      <c r="F7" s="13" t="s">
        <v>17</v>
      </c>
      <c r="G7" s="13" t="s">
        <v>18</v>
      </c>
      <c r="H7" s="13" t="s">
        <v>19</v>
      </c>
      <c r="I7" s="13" t="s">
        <v>20</v>
      </c>
      <c r="J7" s="1" t="s">
        <v>11</v>
      </c>
      <c r="K7" s="1" t="s">
        <v>14</v>
      </c>
      <c r="L7" s="1" t="s">
        <v>15</v>
      </c>
      <c r="M7" s="1"/>
      <c r="N7" s="1" t="s">
        <v>4</v>
      </c>
      <c r="O7" s="1" t="s">
        <v>21</v>
      </c>
      <c r="P7" s="1"/>
      <c r="Q7" s="1" t="s">
        <v>22</v>
      </c>
      <c r="R7" s="13" t="s">
        <v>23</v>
      </c>
      <c r="S7" s="1" t="s">
        <v>21</v>
      </c>
      <c r="T7" s="1"/>
      <c r="U7" s="1" t="s">
        <v>21</v>
      </c>
      <c r="V7" s="1" t="s">
        <v>24</v>
      </c>
      <c r="W7" s="1" t="s">
        <v>25</v>
      </c>
      <c r="Z7" s="1"/>
      <c r="AA7" s="1"/>
    </row>
    <row r="8" spans="1:31" x14ac:dyDescent="0.25">
      <c r="C8" s="19"/>
      <c r="E8" s="13"/>
      <c r="F8" s="13"/>
      <c r="G8" s="1">
        <v>0</v>
      </c>
      <c r="H8" s="1">
        <v>0</v>
      </c>
      <c r="I8" s="1"/>
      <c r="K8" s="1">
        <f>J3</f>
        <v>0.42</v>
      </c>
      <c r="Z8" s="1"/>
      <c r="AA8" s="1"/>
    </row>
    <row r="9" spans="1:31" x14ac:dyDescent="0.25">
      <c r="A9" s="1">
        <v>1</v>
      </c>
      <c r="B9" s="49">
        <f>E2</f>
        <v>-1</v>
      </c>
      <c r="C9" s="48">
        <v>-6</v>
      </c>
      <c r="D9" s="50">
        <f>B9-C9</f>
        <v>5</v>
      </c>
      <c r="E9" s="5">
        <v>18</v>
      </c>
      <c r="F9" s="1">
        <f t="shared" ref="F9:F28" si="0">IF(C9="","",IF(C9&gt;$N$4,0,($N$4-C9)*10))</f>
        <v>50</v>
      </c>
      <c r="G9" s="1">
        <f>IF(C9="","",E9*D9+G8)</f>
        <v>90</v>
      </c>
      <c r="H9" s="1">
        <f>IF(C9="","",G9-F9)</f>
        <v>40</v>
      </c>
      <c r="I9" s="1">
        <f>IF(C9="","",(H8+H9)/2)</f>
        <v>20</v>
      </c>
      <c r="J9" s="1">
        <f t="shared" ref="J9:J28" si="1">IF(C9="","",D9*$E$4/100)</f>
        <v>7.4999999999999997E-2</v>
      </c>
      <c r="K9" s="1">
        <f>IF(C9="","",K8-J9)</f>
        <v>0.34499999999999997</v>
      </c>
      <c r="L9" s="1">
        <f>IF(C9="","",(K9+K8)/2)</f>
        <v>0.38249999999999995</v>
      </c>
      <c r="M9" s="1"/>
      <c r="N9" s="5">
        <v>70</v>
      </c>
      <c r="O9" s="2">
        <f t="shared" ref="O9:O28" si="2">IF(C9="","",IF(N9&lt;23.145,N9,MIN(75,3.5*N9^0.6)))</f>
        <v>44.784411161636683</v>
      </c>
      <c r="P9" s="2"/>
      <c r="Q9" s="5"/>
      <c r="R9" s="5"/>
      <c r="S9" s="1">
        <f t="shared" ref="S9:S28" si="3">IF(C9=0,"",MIN(150,I9*Q9*TAN(R9*PI()/180)))</f>
        <v>0</v>
      </c>
      <c r="T9" s="1"/>
      <c r="U9" s="1">
        <f>IF(C9="","",O9+S9)</f>
        <v>44.784411161636683</v>
      </c>
      <c r="V9" s="5">
        <v>0.5</v>
      </c>
      <c r="W9" s="1">
        <f t="shared" ref="W9:W28" si="4">IF(C9="","",U9*PI()*L9*D9*(V9+1))</f>
        <v>403.61699430775508</v>
      </c>
      <c r="Z9" s="1"/>
      <c r="AA9" s="1"/>
    </row>
    <row r="10" spans="1:31" x14ac:dyDescent="0.25">
      <c r="A10" s="1">
        <v>2</v>
      </c>
      <c r="B10" s="50">
        <f t="shared" ref="B10:B29" si="5">IF(C9="","",C9)</f>
        <v>-6</v>
      </c>
      <c r="C10" s="48">
        <v>-10</v>
      </c>
      <c r="D10" s="1">
        <f>IF(C10="","",B10-C10)</f>
        <v>4</v>
      </c>
      <c r="E10" s="5">
        <v>19</v>
      </c>
      <c r="F10" s="47">
        <f t="shared" si="0"/>
        <v>90</v>
      </c>
      <c r="G10" s="1">
        <f t="shared" ref="G10:G28" si="6">IF(C10="","",E10*D10+G9)</f>
        <v>166</v>
      </c>
      <c r="H10" s="1">
        <f t="shared" ref="H10:H28" si="7">IF(C10="","",G10-F10)</f>
        <v>76</v>
      </c>
      <c r="I10" s="1">
        <f t="shared" ref="I10:I28" si="8">IF(C10="","",(H9+H10)/2)</f>
        <v>58</v>
      </c>
      <c r="J10" s="1">
        <f t="shared" si="1"/>
        <v>0.06</v>
      </c>
      <c r="K10" s="1">
        <f>IF(C10="","",K9-J10)</f>
        <v>0.28499999999999998</v>
      </c>
      <c r="L10" s="1">
        <f>IF(C10="","",(K10+K9)/2)</f>
        <v>0.31499999999999995</v>
      </c>
      <c r="M10" s="1"/>
      <c r="N10" s="5"/>
      <c r="O10" s="2">
        <f t="shared" si="2"/>
        <v>0</v>
      </c>
      <c r="P10" s="2"/>
      <c r="Q10" s="5">
        <v>1.1299999999999999</v>
      </c>
      <c r="R10" s="5">
        <v>22</v>
      </c>
      <c r="S10" s="1">
        <f t="shared" si="3"/>
        <v>26.479878841236172</v>
      </c>
      <c r="T10" s="1"/>
      <c r="U10" s="39">
        <f t="shared" ref="U10:U28" si="9">IF(C10="","",O10+S10)</f>
        <v>26.479878841236172</v>
      </c>
      <c r="V10" s="5">
        <v>1</v>
      </c>
      <c r="W10" s="1">
        <f t="shared" si="4"/>
        <v>209.63626194564989</v>
      </c>
      <c r="Z10" s="1"/>
      <c r="AA10" s="1"/>
    </row>
    <row r="11" spans="1:31" x14ac:dyDescent="0.25">
      <c r="A11" s="1">
        <v>3</v>
      </c>
      <c r="B11" s="50">
        <f t="shared" si="5"/>
        <v>-10</v>
      </c>
      <c r="C11" s="48">
        <v>-13</v>
      </c>
      <c r="D11" s="47">
        <f t="shared" ref="D11:D28" si="10">IF(C11="","",B11-C11)</f>
        <v>3</v>
      </c>
      <c r="E11" s="5">
        <v>20</v>
      </c>
      <c r="F11" s="47">
        <f t="shared" si="0"/>
        <v>120</v>
      </c>
      <c r="G11" s="1">
        <f>IF(C11="","",E11*D11+G10)</f>
        <v>226</v>
      </c>
      <c r="H11" s="1">
        <f t="shared" si="7"/>
        <v>106</v>
      </c>
      <c r="I11" s="1">
        <f t="shared" si="8"/>
        <v>91</v>
      </c>
      <c r="J11" s="1">
        <f t="shared" si="1"/>
        <v>4.4999999999999998E-2</v>
      </c>
      <c r="K11" s="1">
        <f t="shared" ref="K11:K28" si="11">IF(C11="","",K10-J11)</f>
        <v>0.24</v>
      </c>
      <c r="L11" s="1">
        <f t="shared" ref="L11:L28" si="12">IF(C11="","",(K11+K10)/2)</f>
        <v>0.26249999999999996</v>
      </c>
      <c r="M11" s="1"/>
      <c r="N11" s="5"/>
      <c r="O11" s="2">
        <f t="shared" si="2"/>
        <v>0</v>
      </c>
      <c r="P11" s="2"/>
      <c r="Q11" s="5">
        <v>1.32</v>
      </c>
      <c r="R11" s="5">
        <v>25</v>
      </c>
      <c r="S11" s="1">
        <f>IF(C11=0,"",MIN(150,I11*Q11*TAN(R11*PI()/180)))</f>
        <v>56.012875897578432</v>
      </c>
      <c r="T11" s="1"/>
      <c r="U11" s="39">
        <f t="shared" si="9"/>
        <v>56.012875897578432</v>
      </c>
      <c r="V11" s="5">
        <v>1</v>
      </c>
      <c r="W11" s="1">
        <f t="shared" si="4"/>
        <v>277.15218209637396</v>
      </c>
      <c r="Z11" s="1"/>
      <c r="AA11" s="1"/>
    </row>
    <row r="12" spans="1:31" x14ac:dyDescent="0.25">
      <c r="A12" s="1">
        <v>4</v>
      </c>
      <c r="B12" s="50">
        <f t="shared" si="5"/>
        <v>-13</v>
      </c>
      <c r="C12" s="48"/>
      <c r="D12" s="47" t="str">
        <f t="shared" si="10"/>
        <v/>
      </c>
      <c r="E12" s="5"/>
      <c r="F12" s="47" t="str">
        <f t="shared" si="0"/>
        <v/>
      </c>
      <c r="G12" s="1" t="str">
        <f t="shared" si="6"/>
        <v/>
      </c>
      <c r="H12" s="1" t="str">
        <f t="shared" si="7"/>
        <v/>
      </c>
      <c r="I12" s="1" t="str">
        <f t="shared" si="8"/>
        <v/>
      </c>
      <c r="J12" s="1" t="str">
        <f t="shared" si="1"/>
        <v/>
      </c>
      <c r="K12" s="1" t="str">
        <f t="shared" si="11"/>
        <v/>
      </c>
      <c r="L12" s="1" t="str">
        <f t="shared" si="12"/>
        <v/>
      </c>
      <c r="M12" s="1"/>
      <c r="N12" s="5"/>
      <c r="O12" s="2" t="str">
        <f t="shared" si="2"/>
        <v/>
      </c>
      <c r="P12" s="2"/>
      <c r="Q12" s="5"/>
      <c r="R12" s="5"/>
      <c r="S12" s="1" t="str">
        <f t="shared" si="3"/>
        <v/>
      </c>
      <c r="T12" s="1"/>
      <c r="U12" s="39" t="str">
        <f t="shared" si="9"/>
        <v/>
      </c>
      <c r="V12" s="5"/>
      <c r="W12" s="1" t="str">
        <f t="shared" si="4"/>
        <v/>
      </c>
      <c r="Z12" s="1"/>
      <c r="AA12" s="1"/>
    </row>
    <row r="13" spans="1:31" x14ac:dyDescent="0.25">
      <c r="A13" s="1">
        <v>5</v>
      </c>
      <c r="B13" s="50" t="str">
        <f t="shared" si="5"/>
        <v/>
      </c>
      <c r="C13" s="48"/>
      <c r="D13" s="47" t="str">
        <f t="shared" si="10"/>
        <v/>
      </c>
      <c r="E13" s="5"/>
      <c r="F13" s="47" t="str">
        <f t="shared" si="0"/>
        <v/>
      </c>
      <c r="G13" s="1" t="str">
        <f t="shared" si="6"/>
        <v/>
      </c>
      <c r="H13" s="1" t="str">
        <f t="shared" si="7"/>
        <v/>
      </c>
      <c r="I13" s="1" t="str">
        <f t="shared" si="8"/>
        <v/>
      </c>
      <c r="J13" s="1" t="str">
        <f t="shared" si="1"/>
        <v/>
      </c>
      <c r="K13" s="1" t="str">
        <f t="shared" si="11"/>
        <v/>
      </c>
      <c r="L13" s="1" t="str">
        <f t="shared" si="12"/>
        <v/>
      </c>
      <c r="M13" s="1"/>
      <c r="N13" s="5"/>
      <c r="O13" s="2" t="str">
        <f t="shared" si="2"/>
        <v/>
      </c>
      <c r="P13" s="2"/>
      <c r="Q13" s="5"/>
      <c r="R13" s="5"/>
      <c r="S13" s="1" t="str">
        <f t="shared" si="3"/>
        <v/>
      </c>
      <c r="T13" s="1"/>
      <c r="U13" s="39" t="str">
        <f t="shared" si="9"/>
        <v/>
      </c>
      <c r="V13" s="5"/>
      <c r="W13" s="1" t="str">
        <f t="shared" si="4"/>
        <v/>
      </c>
      <c r="Z13" s="1"/>
      <c r="AA13" s="1"/>
    </row>
    <row r="14" spans="1:31" x14ac:dyDescent="0.25">
      <c r="A14" s="1">
        <v>6</v>
      </c>
      <c r="B14" s="50" t="str">
        <f t="shared" si="5"/>
        <v/>
      </c>
      <c r="C14" s="48"/>
      <c r="D14" s="47" t="str">
        <f t="shared" si="10"/>
        <v/>
      </c>
      <c r="E14" s="5"/>
      <c r="F14" s="47" t="str">
        <f t="shared" si="0"/>
        <v/>
      </c>
      <c r="G14" s="1" t="str">
        <f t="shared" si="6"/>
        <v/>
      </c>
      <c r="H14" s="1" t="str">
        <f t="shared" si="7"/>
        <v/>
      </c>
      <c r="I14" s="1" t="str">
        <f t="shared" si="8"/>
        <v/>
      </c>
      <c r="J14" s="1" t="str">
        <f t="shared" si="1"/>
        <v/>
      </c>
      <c r="K14" s="1" t="str">
        <f t="shared" si="11"/>
        <v/>
      </c>
      <c r="L14" s="1" t="str">
        <f>IF(C14="","",(K14+K13)/2)</f>
        <v/>
      </c>
      <c r="M14" s="1"/>
      <c r="N14" s="5"/>
      <c r="O14" s="2" t="str">
        <f t="shared" si="2"/>
        <v/>
      </c>
      <c r="P14" s="2"/>
      <c r="Q14" s="5"/>
      <c r="R14" s="5"/>
      <c r="S14" s="1" t="str">
        <f t="shared" si="3"/>
        <v/>
      </c>
      <c r="T14" s="1"/>
      <c r="U14" s="39" t="str">
        <f t="shared" si="9"/>
        <v/>
      </c>
      <c r="V14" s="5"/>
      <c r="W14" s="1" t="str">
        <f t="shared" si="4"/>
        <v/>
      </c>
      <c r="Z14" s="1"/>
      <c r="AA14" s="1"/>
    </row>
    <row r="15" spans="1:31" x14ac:dyDescent="0.25">
      <c r="A15" s="1">
        <v>7</v>
      </c>
      <c r="B15" s="50" t="str">
        <f t="shared" si="5"/>
        <v/>
      </c>
      <c r="C15" s="48"/>
      <c r="D15" s="47" t="str">
        <f t="shared" si="10"/>
        <v/>
      </c>
      <c r="E15" s="5"/>
      <c r="F15" s="47" t="str">
        <f t="shared" si="0"/>
        <v/>
      </c>
      <c r="G15" s="1" t="str">
        <f t="shared" si="6"/>
        <v/>
      </c>
      <c r="H15" s="1" t="str">
        <f t="shared" si="7"/>
        <v/>
      </c>
      <c r="I15" s="1" t="str">
        <f t="shared" si="8"/>
        <v/>
      </c>
      <c r="J15" s="1" t="str">
        <f t="shared" si="1"/>
        <v/>
      </c>
      <c r="K15" s="1" t="str">
        <f t="shared" si="11"/>
        <v/>
      </c>
      <c r="L15" s="1" t="str">
        <f t="shared" si="12"/>
        <v/>
      </c>
      <c r="M15" s="1"/>
      <c r="N15" s="5" t="str">
        <f>IF(K15="","",IF(#REF!=1,1000*#REF!/20,0))</f>
        <v/>
      </c>
      <c r="O15" s="2" t="str">
        <f t="shared" si="2"/>
        <v/>
      </c>
      <c r="P15" s="2"/>
      <c r="Q15" s="5"/>
      <c r="R15" s="5"/>
      <c r="S15" s="1" t="str">
        <f t="shared" si="3"/>
        <v/>
      </c>
      <c r="T15" s="1"/>
      <c r="U15" s="39" t="str">
        <f t="shared" si="9"/>
        <v/>
      </c>
      <c r="V15" s="5" t="str">
        <f>IF(C15="","",IF(OR(#REF!="C",#REF!="c"),1.5,2))</f>
        <v/>
      </c>
      <c r="W15" s="1" t="str">
        <f t="shared" si="4"/>
        <v/>
      </c>
      <c r="Z15" s="1"/>
      <c r="AA15" s="1"/>
    </row>
    <row r="16" spans="1:31" x14ac:dyDescent="0.25">
      <c r="A16" s="1">
        <v>8</v>
      </c>
      <c r="B16" s="50" t="str">
        <f t="shared" si="5"/>
        <v/>
      </c>
      <c r="C16" s="48"/>
      <c r="D16" s="47" t="str">
        <f t="shared" si="10"/>
        <v/>
      </c>
      <c r="E16" s="5"/>
      <c r="F16" s="47" t="str">
        <f t="shared" si="0"/>
        <v/>
      </c>
      <c r="G16" s="1" t="str">
        <f t="shared" si="6"/>
        <v/>
      </c>
      <c r="H16" s="1" t="str">
        <f t="shared" si="7"/>
        <v/>
      </c>
      <c r="I16" s="1" t="str">
        <f t="shared" si="8"/>
        <v/>
      </c>
      <c r="J16" s="1" t="str">
        <f t="shared" si="1"/>
        <v/>
      </c>
      <c r="K16" s="1" t="str">
        <f t="shared" si="11"/>
        <v/>
      </c>
      <c r="L16" s="1" t="str">
        <f t="shared" si="12"/>
        <v/>
      </c>
      <c r="M16" s="1"/>
      <c r="N16" s="5" t="str">
        <f>IF(K16="","",IF(#REF!=1,1000*#REF!/20,0))</f>
        <v/>
      </c>
      <c r="O16" s="2" t="str">
        <f t="shared" si="2"/>
        <v/>
      </c>
      <c r="P16" s="2"/>
      <c r="Q16" s="5"/>
      <c r="R16" s="5"/>
      <c r="S16" s="1" t="str">
        <f t="shared" si="3"/>
        <v/>
      </c>
      <c r="T16" s="1"/>
      <c r="U16" s="39" t="str">
        <f t="shared" si="9"/>
        <v/>
      </c>
      <c r="V16" s="5" t="str">
        <f>IF(C16="","",IF(OR(#REF!="C",#REF!="c"),1.5,2))</f>
        <v/>
      </c>
      <c r="W16" s="1" t="str">
        <f t="shared" si="4"/>
        <v/>
      </c>
      <c r="Z16" s="1"/>
      <c r="AA16" s="1"/>
    </row>
    <row r="17" spans="1:27" x14ac:dyDescent="0.25">
      <c r="A17" s="1">
        <v>9</v>
      </c>
      <c r="B17" s="50" t="str">
        <f t="shared" si="5"/>
        <v/>
      </c>
      <c r="C17" s="48"/>
      <c r="D17" s="47" t="str">
        <f t="shared" si="10"/>
        <v/>
      </c>
      <c r="E17" s="5"/>
      <c r="F17" s="47" t="str">
        <f t="shared" si="0"/>
        <v/>
      </c>
      <c r="G17" s="1" t="str">
        <f t="shared" si="6"/>
        <v/>
      </c>
      <c r="H17" s="1" t="str">
        <f t="shared" si="7"/>
        <v/>
      </c>
      <c r="I17" s="1" t="str">
        <f t="shared" si="8"/>
        <v/>
      </c>
      <c r="J17" s="1" t="str">
        <f t="shared" si="1"/>
        <v/>
      </c>
      <c r="K17" s="1" t="str">
        <f t="shared" si="11"/>
        <v/>
      </c>
      <c r="L17" s="1" t="str">
        <f t="shared" si="12"/>
        <v/>
      </c>
      <c r="M17" s="1"/>
      <c r="N17" s="5" t="str">
        <f>IF(K17="","",IF(#REF!=1,1000*#REF!/20,0))</f>
        <v/>
      </c>
      <c r="O17" s="2" t="str">
        <f t="shared" si="2"/>
        <v/>
      </c>
      <c r="P17" s="2"/>
      <c r="Q17" s="5"/>
      <c r="R17" s="5"/>
      <c r="S17" s="1" t="str">
        <f t="shared" si="3"/>
        <v/>
      </c>
      <c r="T17" s="1"/>
      <c r="U17" s="39" t="str">
        <f t="shared" si="9"/>
        <v/>
      </c>
      <c r="V17" s="5" t="str">
        <f>IF(C17="","",IF(OR(#REF!="C",#REF!="c"),1.5,2))</f>
        <v/>
      </c>
      <c r="W17" s="1" t="str">
        <f t="shared" si="4"/>
        <v/>
      </c>
      <c r="Z17" s="1"/>
      <c r="AA17" s="1"/>
    </row>
    <row r="18" spans="1:27" x14ac:dyDescent="0.25">
      <c r="A18" s="1">
        <v>10</v>
      </c>
      <c r="B18" s="50" t="str">
        <f t="shared" si="5"/>
        <v/>
      </c>
      <c r="C18" s="48"/>
      <c r="D18" s="47" t="str">
        <f t="shared" si="10"/>
        <v/>
      </c>
      <c r="E18" s="5"/>
      <c r="F18" s="47" t="str">
        <f t="shared" si="0"/>
        <v/>
      </c>
      <c r="G18" s="1" t="str">
        <f t="shared" si="6"/>
        <v/>
      </c>
      <c r="H18" s="1" t="str">
        <f t="shared" si="7"/>
        <v/>
      </c>
      <c r="I18" s="1" t="str">
        <f t="shared" si="8"/>
        <v/>
      </c>
      <c r="J18" s="1" t="str">
        <f t="shared" si="1"/>
        <v/>
      </c>
      <c r="K18" s="1" t="str">
        <f t="shared" si="11"/>
        <v/>
      </c>
      <c r="L18" s="1" t="str">
        <f t="shared" si="12"/>
        <v/>
      </c>
      <c r="M18" s="1"/>
      <c r="N18" s="5" t="str">
        <f>IF(K18="","",IF(#REF!=1,1000*#REF!/20,0))</f>
        <v/>
      </c>
      <c r="O18" s="2" t="str">
        <f t="shared" si="2"/>
        <v/>
      </c>
      <c r="P18" s="2"/>
      <c r="Q18" s="5"/>
      <c r="R18" s="5"/>
      <c r="S18" s="1" t="str">
        <f t="shared" si="3"/>
        <v/>
      </c>
      <c r="T18" s="1"/>
      <c r="U18" s="39" t="str">
        <f t="shared" si="9"/>
        <v/>
      </c>
      <c r="V18" s="5" t="str">
        <f>IF(C18="","",IF(OR(#REF!="C",#REF!="c"),1.5,2))</f>
        <v/>
      </c>
      <c r="W18" s="1" t="str">
        <f t="shared" si="4"/>
        <v/>
      </c>
      <c r="Z18" s="1"/>
      <c r="AA18" s="1"/>
    </row>
    <row r="19" spans="1:27" x14ac:dyDescent="0.25">
      <c r="A19" s="1">
        <v>11</v>
      </c>
      <c r="B19" s="50" t="str">
        <f t="shared" si="5"/>
        <v/>
      </c>
      <c r="C19" s="48"/>
      <c r="D19" s="47" t="str">
        <f t="shared" si="10"/>
        <v/>
      </c>
      <c r="E19" s="5"/>
      <c r="F19" s="47" t="str">
        <f t="shared" si="0"/>
        <v/>
      </c>
      <c r="G19" s="1" t="str">
        <f t="shared" si="6"/>
        <v/>
      </c>
      <c r="H19" s="1" t="str">
        <f t="shared" si="7"/>
        <v/>
      </c>
      <c r="I19" s="1" t="str">
        <f t="shared" si="8"/>
        <v/>
      </c>
      <c r="J19" s="1" t="str">
        <f t="shared" si="1"/>
        <v/>
      </c>
      <c r="K19" s="1" t="str">
        <f t="shared" si="11"/>
        <v/>
      </c>
      <c r="L19" s="1" t="str">
        <f t="shared" si="12"/>
        <v/>
      </c>
      <c r="M19" s="1"/>
      <c r="N19" s="5" t="str">
        <f>IF(K19="","",IF(#REF!=1,1000*#REF!/20,0))</f>
        <v/>
      </c>
      <c r="O19" s="2" t="str">
        <f t="shared" si="2"/>
        <v/>
      </c>
      <c r="P19" s="2"/>
      <c r="Q19" s="5"/>
      <c r="R19" s="5"/>
      <c r="S19" s="1" t="str">
        <f t="shared" si="3"/>
        <v/>
      </c>
      <c r="T19" s="1"/>
      <c r="U19" s="39" t="str">
        <f t="shared" si="9"/>
        <v/>
      </c>
      <c r="V19" s="5" t="str">
        <f>IF(C19="","",IF(OR(#REF!="C",#REF!="c"),1.5,2))</f>
        <v/>
      </c>
      <c r="W19" s="1" t="str">
        <f t="shared" si="4"/>
        <v/>
      </c>
      <c r="Z19" s="1"/>
      <c r="AA19" s="1"/>
    </row>
    <row r="20" spans="1:27" x14ac:dyDescent="0.25">
      <c r="A20" s="1">
        <v>12</v>
      </c>
      <c r="B20" s="50" t="str">
        <f t="shared" si="5"/>
        <v/>
      </c>
      <c r="C20" s="48"/>
      <c r="D20" s="47" t="str">
        <f t="shared" si="10"/>
        <v/>
      </c>
      <c r="E20" s="5"/>
      <c r="F20" s="47" t="str">
        <f t="shared" si="0"/>
        <v/>
      </c>
      <c r="G20" s="1" t="str">
        <f t="shared" si="6"/>
        <v/>
      </c>
      <c r="H20" s="1" t="str">
        <f t="shared" si="7"/>
        <v/>
      </c>
      <c r="I20" s="1" t="str">
        <f t="shared" si="8"/>
        <v/>
      </c>
      <c r="J20" s="1" t="str">
        <f t="shared" si="1"/>
        <v/>
      </c>
      <c r="K20" s="1" t="str">
        <f t="shared" si="11"/>
        <v/>
      </c>
      <c r="L20" s="1" t="str">
        <f t="shared" si="12"/>
        <v/>
      </c>
      <c r="M20" s="1"/>
      <c r="N20" s="5" t="str">
        <f>IF(K20="","",IF(#REF!=1,1000*#REF!/20,0))</f>
        <v/>
      </c>
      <c r="O20" s="2" t="str">
        <f t="shared" si="2"/>
        <v/>
      </c>
      <c r="P20" s="2"/>
      <c r="Q20" s="5"/>
      <c r="R20" s="5"/>
      <c r="S20" s="1" t="str">
        <f t="shared" si="3"/>
        <v/>
      </c>
      <c r="T20" s="1"/>
      <c r="U20" s="39" t="str">
        <f t="shared" si="9"/>
        <v/>
      </c>
      <c r="V20" s="5" t="str">
        <f>IF(C20="","",IF(OR(#REF!="C",#REF!="c"),1.5,2))</f>
        <v/>
      </c>
      <c r="W20" s="1" t="str">
        <f t="shared" si="4"/>
        <v/>
      </c>
      <c r="Z20" s="1"/>
      <c r="AA20" s="1"/>
    </row>
    <row r="21" spans="1:27" x14ac:dyDescent="0.25">
      <c r="A21" s="1">
        <v>13</v>
      </c>
      <c r="B21" s="50" t="str">
        <f t="shared" si="5"/>
        <v/>
      </c>
      <c r="C21" s="48"/>
      <c r="D21" s="47" t="str">
        <f t="shared" si="10"/>
        <v/>
      </c>
      <c r="E21" s="5"/>
      <c r="F21" s="47" t="str">
        <f t="shared" si="0"/>
        <v/>
      </c>
      <c r="G21" s="1" t="str">
        <f t="shared" si="6"/>
        <v/>
      </c>
      <c r="H21" s="1" t="str">
        <f t="shared" si="7"/>
        <v/>
      </c>
      <c r="I21" s="1" t="str">
        <f t="shared" si="8"/>
        <v/>
      </c>
      <c r="J21" s="1" t="str">
        <f t="shared" si="1"/>
        <v/>
      </c>
      <c r="K21" s="1" t="str">
        <f t="shared" si="11"/>
        <v/>
      </c>
      <c r="L21" s="1" t="str">
        <f t="shared" si="12"/>
        <v/>
      </c>
      <c r="M21" s="1"/>
      <c r="N21" s="5"/>
      <c r="O21" s="2" t="str">
        <f t="shared" si="2"/>
        <v/>
      </c>
      <c r="P21" s="2"/>
      <c r="Q21" s="5"/>
      <c r="R21" s="5"/>
      <c r="S21" s="1" t="str">
        <f t="shared" si="3"/>
        <v/>
      </c>
      <c r="T21" s="1"/>
      <c r="U21" s="39" t="str">
        <f t="shared" si="9"/>
        <v/>
      </c>
      <c r="V21" s="5" t="str">
        <f>IF(C21="","",IF(OR(#REF!="C",#REF!="c"),1.5,2))</f>
        <v/>
      </c>
      <c r="W21" s="1" t="str">
        <f t="shared" si="4"/>
        <v/>
      </c>
      <c r="Z21" s="1"/>
      <c r="AA21" s="1"/>
    </row>
    <row r="22" spans="1:27" x14ac:dyDescent="0.25">
      <c r="A22" s="1">
        <v>14</v>
      </c>
      <c r="B22" s="50" t="str">
        <f t="shared" si="5"/>
        <v/>
      </c>
      <c r="C22" s="48"/>
      <c r="D22" s="47" t="str">
        <f t="shared" si="10"/>
        <v/>
      </c>
      <c r="E22" s="5"/>
      <c r="F22" s="47" t="str">
        <f t="shared" si="0"/>
        <v/>
      </c>
      <c r="G22" s="1" t="str">
        <f t="shared" si="6"/>
        <v/>
      </c>
      <c r="H22" s="1" t="str">
        <f t="shared" si="7"/>
        <v/>
      </c>
      <c r="I22" s="1" t="str">
        <f t="shared" si="8"/>
        <v/>
      </c>
      <c r="J22" s="1" t="str">
        <f t="shared" si="1"/>
        <v/>
      </c>
      <c r="K22" s="1" t="str">
        <f t="shared" si="11"/>
        <v/>
      </c>
      <c r="L22" s="1" t="str">
        <f t="shared" si="12"/>
        <v/>
      </c>
      <c r="M22" s="1"/>
      <c r="N22" s="5" t="str">
        <f>IF(K22="","",IF(#REF!=1,1000*#REF!/20,0))</f>
        <v/>
      </c>
      <c r="O22" s="2" t="str">
        <f t="shared" si="2"/>
        <v/>
      </c>
      <c r="P22" s="2"/>
      <c r="Q22" s="5"/>
      <c r="R22" s="5"/>
      <c r="S22" s="1" t="str">
        <f t="shared" si="3"/>
        <v/>
      </c>
      <c r="T22" s="1"/>
      <c r="U22" s="39" t="str">
        <f t="shared" si="9"/>
        <v/>
      </c>
      <c r="V22" s="5" t="str">
        <f>IF(C22="","",IF(OR(#REF!="C",#REF!="c"),1.5,2))</f>
        <v/>
      </c>
      <c r="W22" s="1" t="str">
        <f t="shared" si="4"/>
        <v/>
      </c>
      <c r="Z22" s="1"/>
      <c r="AA22" s="1"/>
    </row>
    <row r="23" spans="1:27" x14ac:dyDescent="0.25">
      <c r="A23" s="1">
        <v>15</v>
      </c>
      <c r="B23" s="50" t="str">
        <f t="shared" si="5"/>
        <v/>
      </c>
      <c r="C23" s="48"/>
      <c r="D23" s="47" t="str">
        <f t="shared" si="10"/>
        <v/>
      </c>
      <c r="E23" s="5"/>
      <c r="F23" s="47" t="str">
        <f t="shared" si="0"/>
        <v/>
      </c>
      <c r="G23" s="1" t="str">
        <f t="shared" si="6"/>
        <v/>
      </c>
      <c r="H23" s="1" t="str">
        <f t="shared" si="7"/>
        <v/>
      </c>
      <c r="I23" s="1" t="str">
        <f t="shared" si="8"/>
        <v/>
      </c>
      <c r="J23" s="1" t="str">
        <f t="shared" si="1"/>
        <v/>
      </c>
      <c r="K23" s="1" t="str">
        <f t="shared" si="11"/>
        <v/>
      </c>
      <c r="L23" s="1" t="str">
        <f t="shared" si="12"/>
        <v/>
      </c>
      <c r="M23" s="1"/>
      <c r="N23" s="5" t="str">
        <f>IF(K23="","",IF(#REF!=1,1000*#REF!/20,0))</f>
        <v/>
      </c>
      <c r="O23" s="2" t="str">
        <f t="shared" si="2"/>
        <v/>
      </c>
      <c r="P23" s="2"/>
      <c r="Q23" s="5"/>
      <c r="R23" s="5"/>
      <c r="S23" s="1" t="str">
        <f t="shared" si="3"/>
        <v/>
      </c>
      <c r="T23" s="1"/>
      <c r="U23" s="39" t="str">
        <f t="shared" si="9"/>
        <v/>
      </c>
      <c r="V23" s="5" t="str">
        <f>IF(C23="","",IF(OR(#REF!="C",#REF!="c"),1.5,2))</f>
        <v/>
      </c>
      <c r="W23" s="1" t="str">
        <f t="shared" si="4"/>
        <v/>
      </c>
      <c r="Z23" s="1"/>
      <c r="AA23" s="1"/>
    </row>
    <row r="24" spans="1:27" x14ac:dyDescent="0.25">
      <c r="A24" s="1">
        <v>16</v>
      </c>
      <c r="B24" s="50" t="str">
        <f t="shared" si="5"/>
        <v/>
      </c>
      <c r="C24" s="48"/>
      <c r="D24" s="47" t="str">
        <f t="shared" si="10"/>
        <v/>
      </c>
      <c r="E24" s="5"/>
      <c r="F24" s="47" t="str">
        <f t="shared" si="0"/>
        <v/>
      </c>
      <c r="G24" s="1" t="str">
        <f t="shared" si="6"/>
        <v/>
      </c>
      <c r="H24" s="1" t="str">
        <f t="shared" si="7"/>
        <v/>
      </c>
      <c r="I24" s="1" t="str">
        <f t="shared" si="8"/>
        <v/>
      </c>
      <c r="J24" s="1" t="str">
        <f t="shared" si="1"/>
        <v/>
      </c>
      <c r="K24" s="1" t="str">
        <f t="shared" si="11"/>
        <v/>
      </c>
      <c r="L24" s="1" t="str">
        <f t="shared" si="12"/>
        <v/>
      </c>
      <c r="M24" s="1"/>
      <c r="N24" s="5" t="str">
        <f>IF(K24="","",IF(#REF!=1,1000*#REF!/20,0))</f>
        <v/>
      </c>
      <c r="O24" s="2" t="str">
        <f t="shared" si="2"/>
        <v/>
      </c>
      <c r="P24" s="2"/>
      <c r="Q24" s="5"/>
      <c r="R24" s="5"/>
      <c r="S24" s="1" t="str">
        <f t="shared" si="3"/>
        <v/>
      </c>
      <c r="T24" s="1"/>
      <c r="U24" s="39" t="str">
        <f t="shared" si="9"/>
        <v/>
      </c>
      <c r="V24" s="5" t="str">
        <f>IF(C24="","",IF(OR(#REF!="C",#REF!="c"),1.5,2))</f>
        <v/>
      </c>
      <c r="W24" s="1" t="str">
        <f t="shared" si="4"/>
        <v/>
      </c>
      <c r="Z24" s="1"/>
      <c r="AA24" s="1"/>
    </row>
    <row r="25" spans="1:27" x14ac:dyDescent="0.25">
      <c r="A25" s="1">
        <v>17</v>
      </c>
      <c r="B25" s="50" t="str">
        <f t="shared" si="5"/>
        <v/>
      </c>
      <c r="C25" s="48"/>
      <c r="D25" s="47" t="str">
        <f t="shared" si="10"/>
        <v/>
      </c>
      <c r="E25" s="5"/>
      <c r="F25" s="47" t="str">
        <f t="shared" si="0"/>
        <v/>
      </c>
      <c r="G25" s="1" t="str">
        <f t="shared" si="6"/>
        <v/>
      </c>
      <c r="H25" s="1" t="str">
        <f t="shared" si="7"/>
        <v/>
      </c>
      <c r="I25" s="1" t="str">
        <f t="shared" si="8"/>
        <v/>
      </c>
      <c r="J25" s="1" t="str">
        <f t="shared" si="1"/>
        <v/>
      </c>
      <c r="K25" s="1" t="str">
        <f t="shared" si="11"/>
        <v/>
      </c>
      <c r="L25" s="1" t="str">
        <f t="shared" si="12"/>
        <v/>
      </c>
      <c r="M25" s="1"/>
      <c r="N25" s="5" t="str">
        <f>IF(K25="","",IF(#REF!=1,1000*#REF!/20,0))</f>
        <v/>
      </c>
      <c r="O25" s="2" t="str">
        <f t="shared" si="2"/>
        <v/>
      </c>
      <c r="P25" s="2"/>
      <c r="Q25" s="5"/>
      <c r="R25" s="5"/>
      <c r="S25" s="1" t="str">
        <f t="shared" si="3"/>
        <v/>
      </c>
      <c r="T25" s="1"/>
      <c r="U25" s="39" t="str">
        <f t="shared" si="9"/>
        <v/>
      </c>
      <c r="V25" s="5"/>
      <c r="W25" s="1" t="str">
        <f t="shared" si="4"/>
        <v/>
      </c>
      <c r="Z25" s="1"/>
      <c r="AA25" s="1"/>
    </row>
    <row r="26" spans="1:27" x14ac:dyDescent="0.25">
      <c r="A26" s="1">
        <v>18</v>
      </c>
      <c r="B26" s="50" t="str">
        <f t="shared" si="5"/>
        <v/>
      </c>
      <c r="C26" s="48"/>
      <c r="D26" s="47" t="str">
        <f t="shared" si="10"/>
        <v/>
      </c>
      <c r="E26" s="5"/>
      <c r="F26" s="47" t="str">
        <f t="shared" si="0"/>
        <v/>
      </c>
      <c r="G26" s="1" t="str">
        <f t="shared" si="6"/>
        <v/>
      </c>
      <c r="H26" s="1" t="str">
        <f t="shared" si="7"/>
        <v/>
      </c>
      <c r="I26" s="1" t="str">
        <f t="shared" si="8"/>
        <v/>
      </c>
      <c r="J26" s="1" t="str">
        <f t="shared" si="1"/>
        <v/>
      </c>
      <c r="K26" s="1" t="str">
        <f t="shared" si="11"/>
        <v/>
      </c>
      <c r="L26" s="1" t="str">
        <f t="shared" si="12"/>
        <v/>
      </c>
      <c r="M26" s="1"/>
      <c r="N26" s="5" t="str">
        <f>IF(K26="","",IF(#REF!=1,1000*#REF!/20,0))</f>
        <v/>
      </c>
      <c r="O26" s="2" t="str">
        <f t="shared" si="2"/>
        <v/>
      </c>
      <c r="P26" s="2"/>
      <c r="Q26" s="5"/>
      <c r="R26" s="5"/>
      <c r="S26" s="1" t="str">
        <f t="shared" si="3"/>
        <v/>
      </c>
      <c r="T26" s="1"/>
      <c r="U26" s="39" t="str">
        <f t="shared" si="9"/>
        <v/>
      </c>
      <c r="V26" s="5" t="str">
        <f>IF(C26="","",IF(OR(#REF!="C",#REF!="c"),1.5,2))</f>
        <v/>
      </c>
      <c r="W26" s="1" t="str">
        <f t="shared" si="4"/>
        <v/>
      </c>
      <c r="Z26" s="1"/>
      <c r="AA26" s="1"/>
    </row>
    <row r="27" spans="1:27" x14ac:dyDescent="0.25">
      <c r="A27" s="1">
        <v>19</v>
      </c>
      <c r="B27" s="50" t="str">
        <f t="shared" si="5"/>
        <v/>
      </c>
      <c r="C27" s="48"/>
      <c r="D27" s="47" t="str">
        <f t="shared" si="10"/>
        <v/>
      </c>
      <c r="E27" s="5"/>
      <c r="F27" s="47" t="str">
        <f t="shared" si="0"/>
        <v/>
      </c>
      <c r="G27" s="1" t="str">
        <f t="shared" si="6"/>
        <v/>
      </c>
      <c r="H27" s="1" t="str">
        <f t="shared" si="7"/>
        <v/>
      </c>
      <c r="I27" s="1" t="str">
        <f t="shared" si="8"/>
        <v/>
      </c>
      <c r="J27" s="1" t="str">
        <f t="shared" si="1"/>
        <v/>
      </c>
      <c r="K27" s="1" t="str">
        <f t="shared" si="11"/>
        <v/>
      </c>
      <c r="L27" s="1" t="str">
        <f t="shared" si="12"/>
        <v/>
      </c>
      <c r="M27" s="1"/>
      <c r="N27" s="5" t="str">
        <f>IF(K27="","",IF(#REF!=1,1000*#REF!/20,0))</f>
        <v/>
      </c>
      <c r="O27" s="2" t="str">
        <f t="shared" si="2"/>
        <v/>
      </c>
      <c r="P27" s="2"/>
      <c r="Q27" s="5"/>
      <c r="R27" s="5"/>
      <c r="S27" s="1" t="str">
        <f t="shared" si="3"/>
        <v/>
      </c>
      <c r="T27" s="1"/>
      <c r="U27" s="39" t="str">
        <f t="shared" si="9"/>
        <v/>
      </c>
      <c r="V27" s="5" t="str">
        <f>IF(C27="","",IF(OR(#REF!="C",#REF!="c"),1.5,2))</f>
        <v/>
      </c>
      <c r="W27" s="1" t="str">
        <f t="shared" si="4"/>
        <v/>
      </c>
      <c r="Z27" s="1"/>
      <c r="AA27" s="1"/>
    </row>
    <row r="28" spans="1:27" x14ac:dyDescent="0.25">
      <c r="A28" s="1">
        <v>20</v>
      </c>
      <c r="B28" s="50" t="str">
        <f t="shared" si="5"/>
        <v/>
      </c>
      <c r="C28" s="48"/>
      <c r="D28" s="47" t="str">
        <f t="shared" si="10"/>
        <v/>
      </c>
      <c r="E28" s="5"/>
      <c r="F28" s="47" t="str">
        <f t="shared" si="0"/>
        <v/>
      </c>
      <c r="G28" s="1" t="str">
        <f t="shared" si="6"/>
        <v/>
      </c>
      <c r="H28" s="1" t="str">
        <f t="shared" si="7"/>
        <v/>
      </c>
      <c r="I28" s="1" t="str">
        <f t="shared" si="8"/>
        <v/>
      </c>
      <c r="J28" s="1" t="str">
        <f t="shared" si="1"/>
        <v/>
      </c>
      <c r="K28" s="1" t="str">
        <f t="shared" si="11"/>
        <v/>
      </c>
      <c r="L28" s="1" t="str">
        <f t="shared" si="12"/>
        <v/>
      </c>
      <c r="M28" s="1"/>
      <c r="N28" s="5" t="str">
        <f>IF(K28="","",IF(#REF!=1,1000*#REF!/20,0))</f>
        <v/>
      </c>
      <c r="O28" s="2" t="str">
        <f t="shared" si="2"/>
        <v/>
      </c>
      <c r="P28" s="2"/>
      <c r="Q28" s="5"/>
      <c r="R28" s="5"/>
      <c r="S28" s="1" t="str">
        <f t="shared" si="3"/>
        <v/>
      </c>
      <c r="T28" s="1"/>
      <c r="U28" s="39" t="str">
        <f t="shared" si="9"/>
        <v/>
      </c>
      <c r="V28" s="5" t="str">
        <f>IF(C28="","",IF(OR(#REF!="C",#REF!="c"),1.5,2))</f>
        <v/>
      </c>
      <c r="W28" s="1" t="str">
        <f t="shared" si="4"/>
        <v/>
      </c>
      <c r="Z28" s="1"/>
      <c r="AA28" s="1"/>
    </row>
    <row r="29" spans="1:27" x14ac:dyDescent="0.25">
      <c r="B29" s="50" t="str">
        <f t="shared" si="5"/>
        <v/>
      </c>
    </row>
    <row r="30" spans="1:27" ht="18.75" x14ac:dyDescent="0.3">
      <c r="B30" s="4" t="s">
        <v>69</v>
      </c>
      <c r="C30" s="5"/>
      <c r="D30" s="4" t="s">
        <v>70</v>
      </c>
      <c r="E30" s="5"/>
      <c r="G30" s="40" t="s">
        <v>71</v>
      </c>
      <c r="H30" s="19">
        <f>MAX(G8:G28)</f>
        <v>226</v>
      </c>
      <c r="J30" s="16" t="s">
        <v>72</v>
      </c>
      <c r="K30" s="18">
        <f>IF(OR(C30="",E30=""),0,(C30*E30+H30)*PI()*E3^2/4)</f>
        <v>0</v>
      </c>
      <c r="Q30" s="41" t="s">
        <v>74</v>
      </c>
      <c r="V30" s="43" t="s">
        <v>3</v>
      </c>
      <c r="W30" s="44">
        <f>SUM(W9:W28)</f>
        <v>890.40543834977893</v>
      </c>
    </row>
    <row r="31" spans="1:27" ht="18.75" x14ac:dyDescent="0.3">
      <c r="D31" s="4" t="s">
        <v>36</v>
      </c>
      <c r="E31" s="5">
        <v>46</v>
      </c>
      <c r="G31" s="40" t="s">
        <v>73</v>
      </c>
      <c r="H31" s="19">
        <f>MAX(H8:H28)</f>
        <v>106</v>
      </c>
      <c r="J31" s="16" t="s">
        <v>72</v>
      </c>
      <c r="K31" s="18">
        <f>H32*PI()*E3^2/4</f>
        <v>220.58504321621515</v>
      </c>
      <c r="M31" s="41"/>
      <c r="Q31" s="41" t="s">
        <v>75</v>
      </c>
      <c r="R31" s="42"/>
      <c r="V31" s="43" t="s">
        <v>72</v>
      </c>
      <c r="W31" s="44">
        <f>IF(AND(E30&gt;0,E31&gt;0),"-",IF(E30=0,K31,K30))</f>
        <v>220.58504321621515</v>
      </c>
    </row>
    <row r="32" spans="1:27" ht="18.75" x14ac:dyDescent="0.3">
      <c r="G32" t="s">
        <v>78</v>
      </c>
      <c r="H32" s="39">
        <f>MIN(15000,E31*H31)</f>
        <v>4876</v>
      </c>
      <c r="I32" s="4" t="s">
        <v>79</v>
      </c>
      <c r="J32" s="46">
        <v>15000</v>
      </c>
      <c r="Q32" s="41" t="s">
        <v>76</v>
      </c>
      <c r="R32" s="42"/>
      <c r="V32" s="43" t="s">
        <v>77</v>
      </c>
      <c r="W32" s="44">
        <f>W30+W31</f>
        <v>1110.9904815659941</v>
      </c>
    </row>
    <row r="55" spans="31:125" ht="18.75" x14ac:dyDescent="0.3">
      <c r="AR55" s="7"/>
      <c r="AS55" s="6"/>
      <c r="AW55" s="3"/>
      <c r="BA55" s="3"/>
      <c r="BE55" s="3"/>
      <c r="BI55" s="3"/>
      <c r="BM55" s="3"/>
      <c r="BP55" t="s">
        <v>2</v>
      </c>
      <c r="BQ55" s="3" t="e">
        <f>#REF!</f>
        <v>#REF!</v>
      </c>
      <c r="BT55" t="s">
        <v>2</v>
      </c>
      <c r="BU55" s="3" t="e">
        <f>#REF!</f>
        <v>#REF!</v>
      </c>
      <c r="BX55" t="s">
        <v>2</v>
      </c>
      <c r="BY55" s="3" t="e">
        <f>#REF!</f>
        <v>#REF!</v>
      </c>
      <c r="CB55" t="s">
        <v>2</v>
      </c>
      <c r="CC55" s="3" t="e">
        <f>#REF!</f>
        <v>#REF!</v>
      </c>
      <c r="CF55" t="s">
        <v>2</v>
      </c>
      <c r="CG55" s="3" t="e">
        <f>#REF!</f>
        <v>#REF!</v>
      </c>
      <c r="CJ55" t="s">
        <v>2</v>
      </c>
      <c r="CK55" s="3" t="e">
        <f>#REF!</f>
        <v>#REF!</v>
      </c>
      <c r="CN55" t="s">
        <v>2</v>
      </c>
      <c r="CO55" s="3" t="e">
        <f>#REF!</f>
        <v>#REF!</v>
      </c>
      <c r="CR55" t="s">
        <v>2</v>
      </c>
      <c r="CS55" s="3" t="e">
        <f>#REF!</f>
        <v>#REF!</v>
      </c>
      <c r="CV55" t="s">
        <v>2</v>
      </c>
      <c r="CW55" s="3" t="e">
        <f>#REF!</f>
        <v>#REF!</v>
      </c>
      <c r="CZ55" t="s">
        <v>2</v>
      </c>
      <c r="DA55" s="3" t="e">
        <f>#REF!</f>
        <v>#REF!</v>
      </c>
      <c r="DD55" t="s">
        <v>2</v>
      </c>
      <c r="DE55" s="3" t="e">
        <f>#REF!</f>
        <v>#REF!</v>
      </c>
      <c r="DH55" t="s">
        <v>2</v>
      </c>
      <c r="DI55" s="3" t="e">
        <f>#REF!</f>
        <v>#REF!</v>
      </c>
      <c r="DL55" t="s">
        <v>2</v>
      </c>
      <c r="DM55" s="3" t="e">
        <f>#REF!</f>
        <v>#REF!</v>
      </c>
      <c r="DP55" t="s">
        <v>2</v>
      </c>
      <c r="DQ55" s="3" t="e">
        <f>#REF!</f>
        <v>#REF!</v>
      </c>
      <c r="DT55" t="s">
        <v>2</v>
      </c>
      <c r="DU55" s="3" t="e">
        <f>#REF!</f>
        <v>#REF!</v>
      </c>
    </row>
    <row r="57" spans="31:125" x14ac:dyDescent="0.25">
      <c r="AK57" s="1"/>
      <c r="AL57" s="1"/>
      <c r="AU57" s="1"/>
      <c r="AV57" s="1"/>
      <c r="AW57" s="1"/>
      <c r="AY57" s="1"/>
      <c r="AZ57" s="1"/>
      <c r="BA57" s="1"/>
      <c r="BC57" s="1"/>
      <c r="BD57" s="1"/>
      <c r="BE57" s="1"/>
      <c r="BG57" s="1"/>
      <c r="BH57" s="1"/>
      <c r="BI57" s="1"/>
      <c r="BK57" s="1"/>
      <c r="BL57" s="1"/>
      <c r="BM57" s="1"/>
      <c r="BO57" s="1"/>
      <c r="BP57" s="1" t="e">
        <f>#REF!</f>
        <v>#REF!</v>
      </c>
      <c r="BQ57" s="1" t="e">
        <f>#REF!</f>
        <v>#REF!</v>
      </c>
      <c r="BS57" s="1" t="s">
        <v>1</v>
      </c>
      <c r="BT57" s="1" t="e">
        <f>#REF!</f>
        <v>#REF!</v>
      </c>
      <c r="BU57" s="1" t="e">
        <f>#REF!</f>
        <v>#REF!</v>
      </c>
      <c r="BW57" s="1" t="s">
        <v>1</v>
      </c>
      <c r="BX57" s="1" t="e">
        <f>#REF!</f>
        <v>#REF!</v>
      </c>
      <c r="BY57" s="1" t="e">
        <f>#REF!</f>
        <v>#REF!</v>
      </c>
      <c r="CA57" s="1" t="s">
        <v>1</v>
      </c>
      <c r="CB57" s="1" t="e">
        <f>#REF!</f>
        <v>#REF!</v>
      </c>
      <c r="CC57" s="1" t="e">
        <f>#REF!</f>
        <v>#REF!</v>
      </c>
      <c r="CE57" s="1" t="s">
        <v>1</v>
      </c>
      <c r="CF57" s="1" t="e">
        <f>#REF!</f>
        <v>#REF!</v>
      </c>
      <c r="CG57" s="1" t="e">
        <f>#REF!</f>
        <v>#REF!</v>
      </c>
      <c r="CI57" s="1" t="s">
        <v>1</v>
      </c>
      <c r="CJ57" s="1" t="e">
        <f>#REF!</f>
        <v>#REF!</v>
      </c>
      <c r="CK57" s="1" t="e">
        <f>#REF!</f>
        <v>#REF!</v>
      </c>
      <c r="CM57" s="1" t="s">
        <v>1</v>
      </c>
      <c r="CN57" s="1" t="e">
        <f>#REF!</f>
        <v>#REF!</v>
      </c>
      <c r="CO57" s="1" t="e">
        <f>#REF!</f>
        <v>#REF!</v>
      </c>
      <c r="CQ57" s="1" t="s">
        <v>1</v>
      </c>
      <c r="CR57" s="1" t="e">
        <f>#REF!</f>
        <v>#REF!</v>
      </c>
      <c r="CS57" s="1" t="e">
        <f>#REF!</f>
        <v>#REF!</v>
      </c>
      <c r="CU57" s="1" t="s">
        <v>1</v>
      </c>
      <c r="CV57" s="1" t="e">
        <f>#REF!</f>
        <v>#REF!</v>
      </c>
      <c r="CW57" s="1" t="e">
        <f>#REF!</f>
        <v>#REF!</v>
      </c>
      <c r="CY57" s="1" t="s">
        <v>1</v>
      </c>
      <c r="CZ57" s="1" t="e">
        <f>#REF!</f>
        <v>#REF!</v>
      </c>
      <c r="DA57" s="1" t="e">
        <f>#REF!</f>
        <v>#REF!</v>
      </c>
      <c r="DC57" s="1" t="s">
        <v>1</v>
      </c>
      <c r="DD57" s="1" t="e">
        <f>#REF!</f>
        <v>#REF!</v>
      </c>
      <c r="DE57" s="1" t="e">
        <f>#REF!</f>
        <v>#REF!</v>
      </c>
      <c r="DG57" s="1" t="s">
        <v>1</v>
      </c>
      <c r="DH57" s="1" t="e">
        <f>#REF!</f>
        <v>#REF!</v>
      </c>
      <c r="DI57" s="1" t="e">
        <f>#REF!</f>
        <v>#REF!</v>
      </c>
      <c r="DK57" s="1" t="s">
        <v>1</v>
      </c>
      <c r="DL57" s="1" t="e">
        <f>#REF!</f>
        <v>#REF!</v>
      </c>
      <c r="DM57" s="1" t="e">
        <f>#REF!</f>
        <v>#REF!</v>
      </c>
      <c r="DO57" s="1" t="s">
        <v>1</v>
      </c>
      <c r="DP57" s="1" t="e">
        <f>#REF!</f>
        <v>#REF!</v>
      </c>
      <c r="DQ57" s="1" t="e">
        <f>#REF!</f>
        <v>#REF!</v>
      </c>
      <c r="DS57" s="1" t="s">
        <v>1</v>
      </c>
      <c r="DT57" s="1" t="e">
        <f>#REF!</f>
        <v>#REF!</v>
      </c>
      <c r="DU57" s="1" t="e">
        <f>#REF!</f>
        <v>#REF!</v>
      </c>
    </row>
    <row r="58" spans="31:125" x14ac:dyDescent="0.25">
      <c r="AE58" s="1"/>
      <c r="AU58" s="1"/>
      <c r="AV58" s="1"/>
      <c r="AW58" s="1"/>
      <c r="AY58" s="1"/>
      <c r="AZ58" s="1"/>
      <c r="BA58" s="1"/>
      <c r="BC58" s="1"/>
      <c r="BD58" s="1"/>
      <c r="BE58" s="1"/>
      <c r="BG58" s="1"/>
      <c r="BH58" s="1"/>
      <c r="BI58" s="1"/>
      <c r="BK58" s="1"/>
      <c r="BL58" s="1"/>
      <c r="BM58" s="1"/>
      <c r="BO58" s="1"/>
      <c r="BP58" s="1" t="e">
        <f>#REF!</f>
        <v>#REF!</v>
      </c>
      <c r="BQ58" s="1" t="e">
        <f>#REF!</f>
        <v>#REF!</v>
      </c>
      <c r="BS58" s="1" t="e">
        <f>#REF!</f>
        <v>#REF!</v>
      </c>
      <c r="BT58" s="1" t="e">
        <f>#REF!</f>
        <v>#REF!</v>
      </c>
      <c r="BU58" s="1" t="e">
        <f>#REF!</f>
        <v>#REF!</v>
      </c>
      <c r="BW58" s="1" t="e">
        <f>#REF!</f>
        <v>#REF!</v>
      </c>
      <c r="BX58" s="1" t="e">
        <f>#REF!</f>
        <v>#REF!</v>
      </c>
      <c r="BY58" s="1" t="e">
        <f>#REF!</f>
        <v>#REF!</v>
      </c>
      <c r="CA58" s="1" t="e">
        <f>#REF!</f>
        <v>#REF!</v>
      </c>
      <c r="CB58" s="1" t="e">
        <f>#REF!</f>
        <v>#REF!</v>
      </c>
      <c r="CC58" s="1" t="e">
        <f>#REF!</f>
        <v>#REF!</v>
      </c>
      <c r="CE58" s="1" t="e">
        <f>#REF!</f>
        <v>#REF!</v>
      </c>
      <c r="CF58" s="1" t="e">
        <f>#REF!</f>
        <v>#REF!</v>
      </c>
      <c r="CG58" s="1" t="e">
        <f>#REF!</f>
        <v>#REF!</v>
      </c>
      <c r="CI58" s="1" t="e">
        <f>#REF!</f>
        <v>#REF!</v>
      </c>
      <c r="CJ58" s="1" t="e">
        <f>#REF!</f>
        <v>#REF!</v>
      </c>
      <c r="CK58" s="1" t="e">
        <f>#REF!</f>
        <v>#REF!</v>
      </c>
      <c r="CM58" s="1" t="e">
        <f>#REF!</f>
        <v>#REF!</v>
      </c>
      <c r="CN58" s="1" t="e">
        <f>#REF!</f>
        <v>#REF!</v>
      </c>
      <c r="CO58" s="1" t="e">
        <f>#REF!</f>
        <v>#REF!</v>
      </c>
      <c r="CQ58" s="1" t="e">
        <f>#REF!</f>
        <v>#REF!</v>
      </c>
      <c r="CR58" s="1" t="e">
        <f>#REF!</f>
        <v>#REF!</v>
      </c>
      <c r="CS58" s="1" t="e">
        <f>#REF!</f>
        <v>#REF!</v>
      </c>
      <c r="CU58" s="1" t="e">
        <f>#REF!</f>
        <v>#REF!</v>
      </c>
      <c r="CV58" s="1" t="e">
        <f>#REF!</f>
        <v>#REF!</v>
      </c>
      <c r="CW58" s="1" t="e">
        <f>#REF!</f>
        <v>#REF!</v>
      </c>
      <c r="CY58" s="1" t="e">
        <f>#REF!</f>
        <v>#REF!</v>
      </c>
      <c r="CZ58" s="1" t="e">
        <f>#REF!</f>
        <v>#REF!</v>
      </c>
      <c r="DA58" s="1" t="e">
        <f>#REF!</f>
        <v>#REF!</v>
      </c>
      <c r="DC58" s="1" t="e">
        <f>#REF!</f>
        <v>#REF!</v>
      </c>
      <c r="DD58" s="1" t="e">
        <f>#REF!</f>
        <v>#REF!</v>
      </c>
      <c r="DE58" s="1" t="e">
        <f>#REF!</f>
        <v>#REF!</v>
      </c>
      <c r="DG58" s="1" t="e">
        <f>#REF!</f>
        <v>#REF!</v>
      </c>
      <c r="DH58" s="1" t="e">
        <f>#REF!</f>
        <v>#REF!</v>
      </c>
      <c r="DI58" s="1" t="e">
        <f>#REF!</f>
        <v>#REF!</v>
      </c>
      <c r="DK58" s="1" t="e">
        <f>#REF!</f>
        <v>#REF!</v>
      </c>
      <c r="DL58" s="1" t="e">
        <f>#REF!</f>
        <v>#REF!</v>
      </c>
      <c r="DM58" s="1" t="e">
        <f>#REF!</f>
        <v>#REF!</v>
      </c>
      <c r="DO58" s="1" t="e">
        <f>#REF!</f>
        <v>#REF!</v>
      </c>
      <c r="DP58" s="1" t="e">
        <f>#REF!</f>
        <v>#REF!</v>
      </c>
      <c r="DQ58" s="1" t="e">
        <f>#REF!</f>
        <v>#REF!</v>
      </c>
      <c r="DS58" s="1" t="e">
        <f>#REF!</f>
        <v>#REF!</v>
      </c>
      <c r="DT58" s="1" t="e">
        <f>#REF!</f>
        <v>#REF!</v>
      </c>
      <c r="DU58" s="1" t="e">
        <f>#REF!</f>
        <v>#REF!</v>
      </c>
    </row>
    <row r="59" spans="31:125" x14ac:dyDescent="0.25">
      <c r="AV59" s="1"/>
      <c r="AZ59" s="1"/>
      <c r="BD59" s="1"/>
      <c r="BH59" s="1"/>
    </row>
    <row r="60" spans="31:125" x14ac:dyDescent="0.25">
      <c r="AV60" s="1"/>
      <c r="AZ60" s="1"/>
      <c r="BD60" s="1"/>
      <c r="BH60" s="1"/>
    </row>
    <row r="61" spans="31:125" x14ac:dyDescent="0.25">
      <c r="AV61" s="1"/>
      <c r="AZ61" s="1"/>
      <c r="BD61" s="1"/>
      <c r="BH61" s="1"/>
    </row>
    <row r="62" spans="31:125" x14ac:dyDescent="0.25">
      <c r="AV62" s="1"/>
      <c r="AZ62" s="1"/>
      <c r="BD62" s="1"/>
      <c r="BH62" s="1"/>
    </row>
    <row r="63" spans="31:125" x14ac:dyDescent="0.25">
      <c r="AV63" s="1"/>
      <c r="AZ63" s="1"/>
      <c r="BD63" s="1"/>
      <c r="BH63" s="1"/>
    </row>
    <row r="64" spans="31:125" x14ac:dyDescent="0.25">
      <c r="AV64" s="1"/>
      <c r="AZ64" s="1"/>
      <c r="BD64" s="1"/>
      <c r="BH64" s="1"/>
    </row>
  </sheetData>
  <mergeCells count="2">
    <mergeCell ref="Q6:R6"/>
    <mergeCell ref="B6:C6"/>
  </mergeCells>
  <dataValidations count="2">
    <dataValidation operator="greaterThanOrEqual" allowBlank="1" showInputMessage="1" showErrorMessage="1" sqref="C9:C28"/>
    <dataValidation operator="greaterThan" allowBlank="1" showInputMessage="1" showErrorMessage="1" sqref="E2:E4 J2:J4"/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workbookViewId="0">
      <selection activeCell="C69" sqref="C69"/>
    </sheetView>
  </sheetViews>
  <sheetFormatPr defaultRowHeight="15" x14ac:dyDescent="0.25"/>
  <cols>
    <col min="1" max="1" width="11.42578125" customWidth="1"/>
    <col min="2" max="2" width="10.28515625" customWidth="1"/>
  </cols>
  <sheetData>
    <row r="1" spans="1:12" ht="29.25" x14ac:dyDescent="0.45">
      <c r="A1" s="36" t="s">
        <v>50</v>
      </c>
      <c r="B1" s="31"/>
      <c r="C1" s="31"/>
      <c r="D1" s="31"/>
      <c r="E1" s="31" t="s">
        <v>51</v>
      </c>
      <c r="F1" s="31"/>
      <c r="G1" s="31"/>
      <c r="H1" s="31"/>
      <c r="I1" s="31"/>
      <c r="L1" s="30" t="s">
        <v>52</v>
      </c>
    </row>
    <row r="3" spans="1:12" ht="26.25" x14ac:dyDescent="0.4">
      <c r="A3" s="9" t="s">
        <v>42</v>
      </c>
    </row>
    <row r="5" spans="1:12" ht="23.25" x14ac:dyDescent="0.35">
      <c r="A5" s="30" t="s">
        <v>43</v>
      </c>
      <c r="B5" s="30"/>
      <c r="E5" s="30" t="s">
        <v>46</v>
      </c>
    </row>
    <row r="6" spans="1:12" ht="26.25" x14ac:dyDescent="0.35">
      <c r="A6" s="30" t="s">
        <v>60</v>
      </c>
      <c r="B6" s="30"/>
      <c r="E6" s="30" t="s">
        <v>47</v>
      </c>
    </row>
    <row r="8" spans="1:12" ht="21" x14ac:dyDescent="0.35">
      <c r="B8" s="20" t="s">
        <v>44</v>
      </c>
      <c r="C8" s="21">
        <v>70</v>
      </c>
    </row>
    <row r="9" spans="1:12" ht="23.25" x14ac:dyDescent="0.35">
      <c r="B9" s="20" t="s">
        <v>45</v>
      </c>
      <c r="C9" s="25">
        <f>IF(C8&lt;23.145,C8,MIN(75,3.5*C8^0.6))</f>
        <v>44.784411161636683</v>
      </c>
      <c r="I9" s="30" t="s">
        <v>49</v>
      </c>
    </row>
    <row r="15" spans="1:12" ht="26.25" x14ac:dyDescent="0.4">
      <c r="A15" s="9" t="s">
        <v>48</v>
      </c>
    </row>
    <row r="17" spans="1:12" ht="23.25" x14ac:dyDescent="0.35">
      <c r="A17" s="30" t="s">
        <v>61</v>
      </c>
    </row>
    <row r="19" spans="1:12" ht="23.25" x14ac:dyDescent="0.35">
      <c r="A19" s="33" t="s">
        <v>55</v>
      </c>
    </row>
    <row r="20" spans="1:12" ht="26.25" x14ac:dyDescent="0.35">
      <c r="A20" s="30" t="s">
        <v>53</v>
      </c>
    </row>
    <row r="22" spans="1:12" ht="23.25" x14ac:dyDescent="0.35">
      <c r="B22" s="34" t="s">
        <v>57</v>
      </c>
      <c r="C22" s="21">
        <v>31</v>
      </c>
      <c r="E22" s="34" t="s">
        <v>56</v>
      </c>
      <c r="F22" s="35">
        <f>0.67*C22</f>
        <v>20.77</v>
      </c>
      <c r="G22" s="35">
        <f>0.75*C22</f>
        <v>23.25</v>
      </c>
    </row>
    <row r="23" spans="1:12" ht="23.25" x14ac:dyDescent="0.35">
      <c r="B23" s="32" t="s">
        <v>54</v>
      </c>
      <c r="C23" s="21">
        <v>0.32</v>
      </c>
    </row>
    <row r="24" spans="1:12" ht="23.25" x14ac:dyDescent="0.35">
      <c r="B24" s="32" t="s">
        <v>58</v>
      </c>
      <c r="C24" s="35">
        <f>(C23*100/25)^0.3*TAN(1.5*C22*PI()/180)</f>
        <v>1.1347834524598555</v>
      </c>
      <c r="I24" s="30" t="s">
        <v>59</v>
      </c>
    </row>
    <row r="31" spans="1:12" ht="31.5" x14ac:dyDescent="0.45">
      <c r="A31" s="36" t="s">
        <v>62</v>
      </c>
      <c r="B31" s="31"/>
      <c r="C31" s="31"/>
      <c r="D31" s="31"/>
      <c r="E31" s="31" t="s">
        <v>63</v>
      </c>
      <c r="F31" s="31"/>
      <c r="G31" s="31"/>
      <c r="H31" s="31"/>
      <c r="I31" s="31"/>
      <c r="L31" s="30" t="s">
        <v>64</v>
      </c>
    </row>
    <row r="33" spans="1:3" ht="26.25" x14ac:dyDescent="0.4">
      <c r="A33" s="9" t="s">
        <v>42</v>
      </c>
    </row>
    <row r="35" spans="1:3" ht="23.25" x14ac:dyDescent="0.35">
      <c r="A35" s="30" t="s">
        <v>67</v>
      </c>
    </row>
    <row r="39" spans="1:3" ht="23.25" x14ac:dyDescent="0.35">
      <c r="B39" s="32" t="s">
        <v>65</v>
      </c>
      <c r="C39" s="37">
        <v>4</v>
      </c>
    </row>
    <row r="40" spans="1:3" ht="23.25" x14ac:dyDescent="0.35">
      <c r="B40" s="32" t="s">
        <v>66</v>
      </c>
      <c r="C40" s="38">
        <f>IF(C39&gt;=4,9,-0.0197*C39^4+0.2089*C39^3-0.9023*C39^2+2.231*C39+6.1775)</f>
        <v>9</v>
      </c>
    </row>
    <row r="61" spans="1:1" ht="26.25" x14ac:dyDescent="0.4">
      <c r="A61" s="9" t="s">
        <v>48</v>
      </c>
    </row>
    <row r="63" spans="1:1" ht="23.25" x14ac:dyDescent="0.35">
      <c r="A63" s="30" t="s">
        <v>68</v>
      </c>
    </row>
    <row r="69" spans="1:5" ht="21" x14ac:dyDescent="0.35">
      <c r="B69" s="20" t="s">
        <v>31</v>
      </c>
      <c r="C69" s="21">
        <v>0.24</v>
      </c>
    </row>
    <row r="70" spans="1:5" ht="21" x14ac:dyDescent="0.35">
      <c r="B70" s="20" t="s">
        <v>32</v>
      </c>
      <c r="C70" s="21">
        <v>12</v>
      </c>
      <c r="D70" s="22" t="s">
        <v>33</v>
      </c>
      <c r="E70" s="23">
        <f>C70/C69</f>
        <v>50</v>
      </c>
    </row>
    <row r="72" spans="1:5" ht="21" x14ac:dyDescent="0.35">
      <c r="B72" s="20" t="s">
        <v>34</v>
      </c>
      <c r="C72" s="21">
        <v>35</v>
      </c>
      <c r="D72" s="10"/>
    </row>
    <row r="74" spans="1:5" ht="21" x14ac:dyDescent="0.35">
      <c r="A74" s="24"/>
      <c r="B74" s="20" t="s">
        <v>35</v>
      </c>
      <c r="C74" s="26">
        <f>D82</f>
        <v>45.98889710165588</v>
      </c>
    </row>
    <row r="77" spans="1:5" ht="21" x14ac:dyDescent="0.35">
      <c r="A77" s="24"/>
      <c r="C77" s="20"/>
      <c r="D77" s="25"/>
    </row>
    <row r="78" spans="1:5" ht="21" x14ac:dyDescent="0.35">
      <c r="C78" s="20"/>
      <c r="D78" s="26"/>
    </row>
    <row r="79" spans="1:5" ht="18.75" x14ac:dyDescent="0.3">
      <c r="A79" s="10"/>
      <c r="B79" s="10"/>
    </row>
    <row r="81" spans="1:5" ht="18.75" x14ac:dyDescent="0.3">
      <c r="C81" s="10"/>
      <c r="D81" s="7"/>
    </row>
    <row r="82" spans="1:5" ht="15.75" x14ac:dyDescent="0.25">
      <c r="A82" s="22" t="s">
        <v>33</v>
      </c>
      <c r="B82" s="23">
        <f>E70</f>
        <v>50</v>
      </c>
      <c r="C82" s="22" t="s">
        <v>36</v>
      </c>
      <c r="D82" s="27">
        <f>SUM(B87:D87)</f>
        <v>45.98889710165588</v>
      </c>
    </row>
    <row r="83" spans="1:5" ht="15.75" x14ac:dyDescent="0.25">
      <c r="E83" s="28"/>
    </row>
    <row r="84" spans="1:5" ht="15.75" x14ac:dyDescent="0.25">
      <c r="A84" s="29" t="s">
        <v>37</v>
      </c>
      <c r="B84" s="29" t="s">
        <v>38</v>
      </c>
      <c r="C84" s="29" t="s">
        <v>39</v>
      </c>
      <c r="D84" s="29" t="s">
        <v>40</v>
      </c>
      <c r="E84" s="29" t="s">
        <v>41</v>
      </c>
    </row>
    <row r="85" spans="1:5" ht="15.75" x14ac:dyDescent="0.25">
      <c r="A85" s="23">
        <f>C72</f>
        <v>35</v>
      </c>
      <c r="B85" s="27">
        <f>EXP(0.1796*A85-1.8081)</f>
        <v>88.049574284367111</v>
      </c>
      <c r="C85" s="27">
        <f>EXP(0.1825*A85-2.1549)</f>
        <v>68.896129443169784</v>
      </c>
      <c r="D85" s="27">
        <f>EXP(0.1888*A85-2.5539)</f>
        <v>57.633269704950372</v>
      </c>
      <c r="E85" s="27">
        <f>EXP(0.2056*A85-3.3676)</f>
        <v>45.98889710165588</v>
      </c>
    </row>
    <row r="86" spans="1:5" ht="15.75" x14ac:dyDescent="0.25">
      <c r="A86" s="22" t="s">
        <v>33</v>
      </c>
      <c r="B86" s="29">
        <v>5</v>
      </c>
      <c r="C86" s="29">
        <v>10</v>
      </c>
      <c r="D86" s="29">
        <v>20</v>
      </c>
      <c r="E86" s="29">
        <v>50</v>
      </c>
    </row>
    <row r="87" spans="1:5" ht="15.75" x14ac:dyDescent="0.25">
      <c r="A87" s="28"/>
      <c r="B87" s="28">
        <f>IF($B$82&lt;C86,B85+(C85-B85)*($B$82-B86)/(C86-B86),0)</f>
        <v>0</v>
      </c>
      <c r="C87" s="28">
        <f>IF(AND($B$82&lt;D86,$B$82&gt;=C86),C85+(D85-C85)*($B$82-C86)/(D86-C86),0)</f>
        <v>0</v>
      </c>
      <c r="D87" s="28">
        <f>IF($B$82&gt;=D86,D85+(E85-D85)*($B$82-D86)/(E86-D86),0)</f>
        <v>45.98889710165588</v>
      </c>
      <c r="E87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TrCon</vt:lpstr>
      <vt:lpstr>note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 Zoppellaro</dc:creator>
  <cp:lastModifiedBy>-- Zoppellaro</cp:lastModifiedBy>
  <dcterms:created xsi:type="dcterms:W3CDTF">2022-08-04T20:26:12Z</dcterms:created>
  <dcterms:modified xsi:type="dcterms:W3CDTF">2025-02-26T15:40:30Z</dcterms:modified>
</cp:coreProperties>
</file>